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otr Biernat\Desktop\"/>
    </mc:Choice>
  </mc:AlternateContent>
  <xr:revisionPtr revIDLastSave="0" documentId="13_ncr:1_{4F40AFD8-A19B-4CAA-8882-0E6F183BD73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Eksploatacja" sheetId="1" r:id="rId1"/>
    <sheet name="Arkusz1" sheetId="12" r:id="rId2"/>
    <sheet name="141" sheetId="11" state="hidden" r:id="rId3"/>
    <sheet name="Wzór_kalkulacji_ekspl." sheetId="10" state="hidden" r:id="rId4"/>
    <sheet name="Odpis_fundusz_podstawowy" sheetId="6" state="hidden" r:id="rId5"/>
    <sheet name="Odpis_termomodernizacja" sheetId="3" state="hidden" r:id="rId6"/>
    <sheet name="Odpis_fundusz_remontowy_dźwigi" sheetId="8" state="hidden" r:id="rId7"/>
    <sheet name="Płaca_minimalna_2014_2020" sheetId="7" state="hidden" r:id="rId8"/>
  </sheets>
  <definedNames>
    <definedName name="_xlnm.Print_Area" localSheetId="0">Eksploatacja!$A$1:$H$243</definedName>
    <definedName name="_xlnm.Print_Area" localSheetId="3">Wzór_kalkulacji_ekspl.!$A$1:$G$33</definedName>
    <definedName name="_xlnm.Print_Titles" localSheetId="0">Eksploatacja!$3:$3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1" l="1"/>
  <c r="C2" i="11"/>
  <c r="B2" i="11"/>
  <c r="G24" i="10"/>
  <c r="G27" i="10"/>
  <c r="F27" i="10"/>
  <c r="G26" i="10"/>
  <c r="G25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D236" i="1" l="1"/>
  <c r="C236" i="1"/>
  <c r="B236" i="1"/>
  <c r="D234" i="1"/>
  <c r="C234" i="1"/>
  <c r="B234" i="1"/>
  <c r="D232" i="1"/>
  <c r="C232" i="1"/>
  <c r="B232" i="1"/>
  <c r="D230" i="1"/>
  <c r="C230" i="1"/>
  <c r="B230" i="1"/>
  <c r="D228" i="1"/>
  <c r="C228" i="1"/>
  <c r="B228" i="1"/>
  <c r="D226" i="1"/>
  <c r="C226" i="1"/>
  <c r="B226" i="1"/>
  <c r="D224" i="1"/>
  <c r="C224" i="1"/>
  <c r="B224" i="1"/>
  <c r="D222" i="1"/>
  <c r="C222" i="1"/>
  <c r="B222" i="1"/>
  <c r="D220" i="1"/>
  <c r="C220" i="1"/>
  <c r="B220" i="1"/>
  <c r="D218" i="1"/>
  <c r="C218" i="1"/>
  <c r="B218" i="1"/>
  <c r="D216" i="1"/>
  <c r="C216" i="1"/>
  <c r="B216" i="1"/>
  <c r="D214" i="1"/>
  <c r="C214" i="1"/>
  <c r="B214" i="1"/>
  <c r="D212" i="1"/>
  <c r="C212" i="1"/>
  <c r="B212" i="1"/>
  <c r="D210" i="1"/>
  <c r="C210" i="1"/>
  <c r="B210" i="1"/>
  <c r="D208" i="1"/>
  <c r="C208" i="1"/>
  <c r="B208" i="1"/>
  <c r="D206" i="1"/>
  <c r="C206" i="1"/>
  <c r="B206" i="1"/>
  <c r="D204" i="1"/>
  <c r="C204" i="1"/>
  <c r="B204" i="1"/>
  <c r="D202" i="1"/>
  <c r="C202" i="1"/>
  <c r="B202" i="1"/>
  <c r="D200" i="1"/>
  <c r="C200" i="1"/>
  <c r="B200" i="1"/>
  <c r="D198" i="1"/>
  <c r="C198" i="1"/>
  <c r="B198" i="1"/>
  <c r="D196" i="1"/>
  <c r="C196" i="1"/>
  <c r="B196" i="1"/>
  <c r="D194" i="1"/>
  <c r="C194" i="1"/>
  <c r="B194" i="1"/>
  <c r="D192" i="1"/>
  <c r="C192" i="1"/>
  <c r="B192" i="1"/>
  <c r="D190" i="1"/>
  <c r="C190" i="1"/>
  <c r="B190" i="1"/>
  <c r="D188" i="1"/>
  <c r="C188" i="1"/>
  <c r="B188" i="1"/>
  <c r="D186" i="1"/>
  <c r="C186" i="1"/>
  <c r="B186" i="1"/>
  <c r="D184" i="1"/>
  <c r="C184" i="1"/>
  <c r="B184" i="1"/>
  <c r="D182" i="1"/>
  <c r="C182" i="1"/>
  <c r="B182" i="1"/>
  <c r="D180" i="1"/>
  <c r="C180" i="1"/>
  <c r="B180" i="1"/>
  <c r="D178" i="1"/>
  <c r="C178" i="1"/>
  <c r="B178" i="1"/>
  <c r="D176" i="1"/>
  <c r="C176" i="1"/>
  <c r="B176" i="1"/>
  <c r="D174" i="1"/>
  <c r="C174" i="1"/>
  <c r="B174" i="1"/>
  <c r="D172" i="1"/>
  <c r="C172" i="1"/>
  <c r="B172" i="1"/>
  <c r="D170" i="1"/>
  <c r="C170" i="1"/>
  <c r="B170" i="1"/>
  <c r="D168" i="1"/>
  <c r="C168" i="1"/>
  <c r="B168" i="1"/>
  <c r="D166" i="1"/>
  <c r="C166" i="1"/>
  <c r="B166" i="1"/>
  <c r="D164" i="1"/>
  <c r="C164" i="1"/>
  <c r="B164" i="1"/>
  <c r="D162" i="1"/>
  <c r="C162" i="1"/>
  <c r="B162" i="1"/>
  <c r="D160" i="1"/>
  <c r="C160" i="1"/>
  <c r="B160" i="1"/>
  <c r="D158" i="1"/>
  <c r="C158" i="1"/>
  <c r="B158" i="1"/>
  <c r="D156" i="1"/>
  <c r="C156" i="1"/>
  <c r="B156" i="1"/>
  <c r="D154" i="1"/>
  <c r="C154" i="1"/>
  <c r="B154" i="1"/>
  <c r="D152" i="1"/>
  <c r="C152" i="1"/>
  <c r="B152" i="1"/>
  <c r="D150" i="1"/>
  <c r="C150" i="1"/>
  <c r="B150" i="1"/>
  <c r="D148" i="1"/>
  <c r="C148" i="1"/>
  <c r="B148" i="1"/>
  <c r="D146" i="1"/>
  <c r="C146" i="1"/>
  <c r="B146" i="1"/>
  <c r="D144" i="1"/>
  <c r="C144" i="1"/>
  <c r="B144" i="1"/>
  <c r="D142" i="1"/>
  <c r="C142" i="1"/>
  <c r="B142" i="1"/>
  <c r="D140" i="1"/>
  <c r="C140" i="1"/>
  <c r="B140" i="1"/>
  <c r="D138" i="1"/>
  <c r="C138" i="1"/>
  <c r="B138" i="1"/>
  <c r="D136" i="1"/>
  <c r="C136" i="1"/>
  <c r="B136" i="1"/>
  <c r="D134" i="1"/>
  <c r="C134" i="1"/>
  <c r="B134" i="1"/>
  <c r="D132" i="1"/>
  <c r="C132" i="1"/>
  <c r="B132" i="1"/>
  <c r="D130" i="1"/>
  <c r="C130" i="1"/>
  <c r="B130" i="1"/>
  <c r="D128" i="1"/>
  <c r="C128" i="1"/>
  <c r="B128" i="1"/>
  <c r="D126" i="1"/>
  <c r="C126" i="1"/>
  <c r="B126" i="1"/>
  <c r="D124" i="1"/>
  <c r="C124" i="1"/>
  <c r="B124" i="1"/>
  <c r="D122" i="1"/>
  <c r="C122" i="1"/>
  <c r="B122" i="1"/>
  <c r="D120" i="1"/>
  <c r="C120" i="1"/>
  <c r="B120" i="1"/>
  <c r="D118" i="1"/>
  <c r="C118" i="1"/>
  <c r="B118" i="1"/>
  <c r="D116" i="1"/>
  <c r="C116" i="1"/>
  <c r="B116" i="1"/>
  <c r="D114" i="1"/>
  <c r="C114" i="1"/>
  <c r="B114" i="1"/>
  <c r="D112" i="1"/>
  <c r="C112" i="1"/>
  <c r="B112" i="1"/>
  <c r="D110" i="1"/>
  <c r="C110" i="1"/>
  <c r="B110" i="1"/>
  <c r="D108" i="1"/>
  <c r="C108" i="1"/>
  <c r="B108" i="1"/>
  <c r="D106" i="1"/>
  <c r="C106" i="1"/>
  <c r="B106" i="1"/>
  <c r="D104" i="1"/>
  <c r="C104" i="1"/>
  <c r="B104" i="1"/>
  <c r="D102" i="1"/>
  <c r="C102" i="1"/>
  <c r="B102" i="1"/>
  <c r="D100" i="1"/>
  <c r="C100" i="1"/>
  <c r="B100" i="1"/>
  <c r="D98" i="1"/>
  <c r="C98" i="1"/>
  <c r="B98" i="1"/>
  <c r="D96" i="1"/>
  <c r="C96" i="1"/>
  <c r="B96" i="1"/>
  <c r="D94" i="1"/>
  <c r="C94" i="1"/>
  <c r="B94" i="1"/>
  <c r="D92" i="1"/>
  <c r="C92" i="1"/>
  <c r="B92" i="1"/>
  <c r="D90" i="1"/>
  <c r="C90" i="1"/>
  <c r="B90" i="1"/>
  <c r="D88" i="1"/>
  <c r="C88" i="1"/>
  <c r="B88" i="1"/>
  <c r="D86" i="1"/>
  <c r="C86" i="1"/>
  <c r="B86" i="1"/>
  <c r="D84" i="1"/>
  <c r="C84" i="1"/>
  <c r="B84" i="1"/>
  <c r="D82" i="1"/>
  <c r="C82" i="1"/>
  <c r="B82" i="1"/>
  <c r="D80" i="1"/>
  <c r="C80" i="1"/>
  <c r="B80" i="1"/>
  <c r="D78" i="1"/>
  <c r="C78" i="1"/>
  <c r="B78" i="1"/>
  <c r="D76" i="1"/>
  <c r="C76" i="1"/>
  <c r="B76" i="1"/>
  <c r="D74" i="1"/>
  <c r="C74" i="1"/>
  <c r="B74" i="1"/>
  <c r="D72" i="1"/>
  <c r="C72" i="1"/>
  <c r="B72" i="1"/>
  <c r="D70" i="1"/>
  <c r="C70" i="1"/>
  <c r="B70" i="1"/>
  <c r="D68" i="1"/>
  <c r="C68" i="1"/>
  <c r="B68" i="1"/>
  <c r="D66" i="1"/>
  <c r="C66" i="1"/>
  <c r="B66" i="1"/>
  <c r="D64" i="1"/>
  <c r="C64" i="1"/>
  <c r="B64" i="1"/>
  <c r="D62" i="1"/>
  <c r="C62" i="1"/>
  <c r="B62" i="1"/>
  <c r="D60" i="1"/>
  <c r="C60" i="1"/>
  <c r="B60" i="1"/>
  <c r="D58" i="1"/>
  <c r="C58" i="1"/>
  <c r="B58" i="1"/>
  <c r="D56" i="1"/>
  <c r="C56" i="1"/>
  <c r="B56" i="1"/>
  <c r="D54" i="1"/>
  <c r="C54" i="1"/>
  <c r="B54" i="1"/>
  <c r="D52" i="1"/>
  <c r="C52" i="1"/>
  <c r="B52" i="1"/>
  <c r="D50" i="1"/>
  <c r="C50" i="1"/>
  <c r="B50" i="1"/>
  <c r="D48" i="1"/>
  <c r="C48" i="1"/>
  <c r="B48" i="1"/>
  <c r="D46" i="1"/>
  <c r="C46" i="1"/>
  <c r="B46" i="1"/>
  <c r="D44" i="1"/>
  <c r="C44" i="1"/>
  <c r="B44" i="1"/>
  <c r="D42" i="1"/>
  <c r="C42" i="1"/>
  <c r="B42" i="1"/>
  <c r="D40" i="1"/>
  <c r="C40" i="1"/>
  <c r="B40" i="1"/>
  <c r="D38" i="1"/>
  <c r="C38" i="1"/>
  <c r="B38" i="1"/>
  <c r="D36" i="1"/>
  <c r="C36" i="1"/>
  <c r="B36" i="1"/>
  <c r="D34" i="1"/>
  <c r="C34" i="1"/>
  <c r="B34" i="1"/>
  <c r="D32" i="1"/>
  <c r="C32" i="1"/>
  <c r="B32" i="1"/>
  <c r="D30" i="1"/>
  <c r="C30" i="1"/>
  <c r="B30" i="1"/>
  <c r="D28" i="1"/>
  <c r="C28" i="1"/>
  <c r="B28" i="1"/>
  <c r="D26" i="1"/>
  <c r="C26" i="1"/>
  <c r="B26" i="1"/>
  <c r="D24" i="1"/>
  <c r="C24" i="1"/>
  <c r="B24" i="1"/>
  <c r="D22" i="1"/>
  <c r="C22" i="1"/>
  <c r="B22" i="1"/>
  <c r="D20" i="1"/>
  <c r="C20" i="1"/>
  <c r="B20" i="1"/>
  <c r="D18" i="1"/>
  <c r="C18" i="1"/>
  <c r="B18" i="1"/>
  <c r="D16" i="1"/>
  <c r="C16" i="1"/>
  <c r="B16" i="1"/>
  <c r="D14" i="1"/>
  <c r="C14" i="1"/>
  <c r="B14" i="1"/>
  <c r="D12" i="1"/>
  <c r="C12" i="1"/>
  <c r="B12" i="1"/>
  <c r="D10" i="1"/>
  <c r="C10" i="1"/>
  <c r="B10" i="1"/>
  <c r="D8" i="1"/>
  <c r="C8" i="1"/>
  <c r="B8" i="1"/>
  <c r="D6" i="1"/>
  <c r="C6" i="1"/>
  <c r="B6" i="1"/>
  <c r="D4" i="1"/>
  <c r="C4" i="1"/>
  <c r="B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3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eksploatacja podst. + konserw.bieżąca+(sprzątanie+dźwigi, jak w roku 2015)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1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eksploatacja podst. + konserw.bieżąca+(sprzątanie+dźwigi, jak w roku 2015)</t>
        </r>
      </text>
    </comment>
  </commentList>
</comments>
</file>

<file path=xl/sharedStrings.xml><?xml version="1.0" encoding="utf-8"?>
<sst xmlns="http://schemas.openxmlformats.org/spreadsheetml/2006/main" count="645" uniqueCount="202">
  <si>
    <t>L.P.</t>
  </si>
  <si>
    <t>Nr nieruchomości</t>
  </si>
  <si>
    <t>Skumulowana opłata zależna od Spółdzielni w przeliczeniu zł/m2/m-c
 od 01.10.2014 
lokal mieszkalny z art. 4 ust. 1 i 2</t>
  </si>
  <si>
    <t>Skumulowana opłata zależna od Spółdzielni w przeliczeniu zł/m2/m-c
 od 01.10.2015 
lokal mieszkalny z art. 4 ust. 1 i 2</t>
  </si>
  <si>
    <t>Skumulowana opłata zależna od Spółdzielni w przeliczeniu zł/m2/m-c
 od 01.10.2016 
lokal mieszkalny z art. 4 ust. 1 i 2</t>
  </si>
  <si>
    <t>Skumulowana opłata zależna od Spółdzielni w przeliczeniu zł/m2/m-c
 od 01.10.2017 
lokal mieszkalny z art. 4 ust. 1 i 2</t>
  </si>
  <si>
    <t>Skumulowana opłata zależna od Spółdzielni w przeliczeniu zł/m2/m-c
 od 01.06.2018 
lokal mieszkalny z art. 4 ust. 1 i 2</t>
  </si>
  <si>
    <t>Skumulowana opłata zależna od Spółdzielni w przeliczeniu zł/m2/m-c
 od 01.06.2019 
lokal mieszkalny z art. 4 ust. 1 i 2 *</t>
  </si>
  <si>
    <t>0500-Rochowiaka 20 ab</t>
  </si>
  <si>
    <t>0501-Lisieckiego 8-10-12, 14-16-18</t>
  </si>
  <si>
    <t>0502-Kubiny 7</t>
  </si>
  <si>
    <t>0503-Kominka 2</t>
  </si>
  <si>
    <t>0504-Ligocka 2, 4, 4a, 6</t>
  </si>
  <si>
    <t>0505-Gallusa 14 a-b-c</t>
  </si>
  <si>
    <t>0506-Różana 9</t>
  </si>
  <si>
    <t>0507-Piękna 9,11</t>
  </si>
  <si>
    <t>0509-Drzymały 7</t>
  </si>
  <si>
    <t>0510-W. Pola 77-85, 87-95</t>
  </si>
  <si>
    <t>0511-Szeligiewicza 4</t>
  </si>
  <si>
    <t>0512-Podchorążych 11-13, Szeligiewicza 8 - 14</t>
  </si>
  <si>
    <t>0513-Raciborska 40</t>
  </si>
  <si>
    <t>0515-Lisieckiego 25-25a, 27-31,33-33a,35-39</t>
  </si>
  <si>
    <t>0516-Lisieckiego 4, 6, Strzelecka 17</t>
  </si>
  <si>
    <t>0517-Strzelecka 11-15</t>
  </si>
  <si>
    <t>0519-Strzelecka 19</t>
  </si>
  <si>
    <t>0520-Lisieckiego 7-11</t>
  </si>
  <si>
    <t>0521-Mikołowska 37, 39, 39 abc</t>
  </si>
  <si>
    <t>0524-Adamskiego14,14a, Gawliny2,4, Kominka7, Kubiny 3,5</t>
  </si>
  <si>
    <t>0525-Fliegera 12</t>
  </si>
  <si>
    <t>0526-Fliegera 14, 16</t>
  </si>
  <si>
    <t>0527-Fliegera 18</t>
  </si>
  <si>
    <t>0528-Fliegera 4,6,8,10</t>
  </si>
  <si>
    <t>0529-Fliegera 3, 5,7,9,11</t>
  </si>
  <si>
    <t>0531-W. Pola 2,4</t>
  </si>
  <si>
    <t>0534-W. Pola 9,11,13</t>
  </si>
  <si>
    <t>0535-Mikołowska 113</t>
  </si>
  <si>
    <t>0536-Mikołowska 119</t>
  </si>
  <si>
    <t>0537-Mikołowska 129</t>
  </si>
  <si>
    <t>0538-Dworska 13b-c</t>
  </si>
  <si>
    <t>0539-Brynowska 57a, 63</t>
  </si>
  <si>
    <t>0540-Brynowska 45</t>
  </si>
  <si>
    <t>0541-Brynowska 43</t>
  </si>
  <si>
    <t>0542-Brynowska 51</t>
  </si>
  <si>
    <t>0543-Gallusa 13, 13a, 13b</t>
  </si>
  <si>
    <t>0544-Gallusa 5</t>
  </si>
  <si>
    <t>0546-Ligocka 5,5a,7</t>
  </si>
  <si>
    <t>0547-Ligocka 7a,7b</t>
  </si>
  <si>
    <t>0548-W. Pola 27,29</t>
  </si>
  <si>
    <t>0549-Gallusa 4,6</t>
  </si>
  <si>
    <t>0561-Leśnego Potoku 30</t>
  </si>
  <si>
    <t xml:space="preserve">0562-Piękna 50-64 </t>
  </si>
  <si>
    <t>0563-Mikołowska 102-102a-d,104-110,112-116, Piękna 49-59</t>
  </si>
  <si>
    <t>0564-Modrzejewskiej 6-8</t>
  </si>
  <si>
    <t>0568-Leśnego Potoku 32, 32a</t>
  </si>
  <si>
    <t>0569-Brynowska 56-58, Dworska 17-19</t>
  </si>
  <si>
    <t>0570-Dworska 11d-e</t>
  </si>
  <si>
    <t>0571-Dworska 11f-g</t>
  </si>
  <si>
    <t>0572-Brynowska 51a-51b</t>
  </si>
  <si>
    <t>0573-Brynowska 51c</t>
  </si>
  <si>
    <t>0574-Brynowska 51d</t>
  </si>
  <si>
    <t>0575-Brynowska 53a-55-55a</t>
  </si>
  <si>
    <t>0001-Panewnicka 335, 335a</t>
  </si>
  <si>
    <t>0002-Panewnicka 337-367</t>
  </si>
  <si>
    <t>0003-Kijowska 2,4,6</t>
  </si>
  <si>
    <t>0004-Kijowska 53,55 Płochy 4,5</t>
  </si>
  <si>
    <t>0007-Kijowska 47</t>
  </si>
  <si>
    <t>0008-Kijowska 49</t>
  </si>
  <si>
    <t>0009-Kijowska 51</t>
  </si>
  <si>
    <t>0010-Mała 25</t>
  </si>
  <si>
    <t>0011-Radomska 9</t>
  </si>
  <si>
    <t>0012-Radomska 11</t>
  </si>
  <si>
    <t>0013-Krucza 24</t>
  </si>
  <si>
    <t>0014-Płochy 2</t>
  </si>
  <si>
    <t>0100- Borówkowa 3,5</t>
  </si>
  <si>
    <t>0101- Borówkowa 7, 9, 11, 13</t>
  </si>
  <si>
    <t>0103-Armii Krajowej 21, 21 ab</t>
  </si>
  <si>
    <t>0104-Noskowskiego 10, A.Krajowej 25</t>
  </si>
  <si>
    <t>0105-Koszalińska 37</t>
  </si>
  <si>
    <t>0106-Bromboszcza 2</t>
  </si>
  <si>
    <t>0107-Traktorzystów 20</t>
  </si>
  <si>
    <t>0108-Bronisławy 29 ab</t>
  </si>
  <si>
    <t>0109-Małopolska 22-26</t>
  </si>
  <si>
    <t>0110-Harcerska 4 -4a</t>
  </si>
  <si>
    <t>0127-Bromboszcza 1-3, 7, Piotrowicka 45-47-49</t>
  </si>
  <si>
    <t>0128-Jeżynowa 6, 8, 10</t>
  </si>
  <si>
    <t>0129-Malinowa 17,19,21,23,25,27,29,31</t>
  </si>
  <si>
    <t>0131-Małopolska 32-24</t>
  </si>
  <si>
    <t>0132-Wileńska 35-37</t>
  </si>
  <si>
    <t>0141-Gdańska 18, 20</t>
  </si>
  <si>
    <t>0142-Gdańska 22, Zadole 44B</t>
  </si>
  <si>
    <t>0143-Zadole 44</t>
  </si>
  <si>
    <t>0144-Zadole 44A</t>
  </si>
  <si>
    <t>0145-Gdańska 14, 16</t>
  </si>
  <si>
    <t>0200-Kłodnicka 68-74</t>
  </si>
  <si>
    <t>0224-Rolna 49 ab, 53 ab, 51</t>
  </si>
  <si>
    <t>0225-Rolna 55, 57, 61</t>
  </si>
  <si>
    <t>0226-Kredytowa 15</t>
  </si>
  <si>
    <t>0227-Hetmańska 20, 22-24, Grzyśki 4-4a</t>
  </si>
  <si>
    <t>0228-Grzyśki 13b, 15abc</t>
  </si>
  <si>
    <t>0229-Grzyśki 2</t>
  </si>
  <si>
    <t>0230-Tomasza 6-8</t>
  </si>
  <si>
    <t>0231-Wodospady 54-66a</t>
  </si>
  <si>
    <t>0232-Adwentowicza 17</t>
  </si>
  <si>
    <t>0234-Kłodnicka 80</t>
  </si>
  <si>
    <t>0235-Ligocka 88-90, 88a-90a, 88b-90b</t>
  </si>
  <si>
    <t>0239-Hetmańska 36</t>
  </si>
  <si>
    <t>0240-Grzyśki 17</t>
  </si>
  <si>
    <t>0241-Grzyśki 1-11</t>
  </si>
  <si>
    <t>0242-Kredytowa 17</t>
  </si>
  <si>
    <t>0300-Akacjowa 1 - 3 - 5</t>
  </si>
  <si>
    <t>0301-Akacjowa 2 - 4</t>
  </si>
  <si>
    <t xml:space="preserve">0302-Dębowa 4 </t>
  </si>
  <si>
    <t>0310-Dobra 2-4, Widok 4,6,8,8a</t>
  </si>
  <si>
    <t>0311-Złota 15</t>
  </si>
  <si>
    <t>0312-Akacjowa 6, 8, Złota 5a</t>
  </si>
  <si>
    <t>0314-Złota 41a-43a-45a, 35-39, Sportowa 36, 36 ab</t>
  </si>
  <si>
    <t>0315-Ściegie. 43 a-g, Słonecz. 81 a-g, 83 a-g</t>
  </si>
  <si>
    <t>0316-Słoneczna 65, 67, 69, 71, 73, 75, 77</t>
  </si>
  <si>
    <t>0317-Słoneczna 74, 76, 78</t>
  </si>
  <si>
    <t>0318-Ściegiennego 49 b</t>
  </si>
  <si>
    <t>0319-Ściegiennego 49 d</t>
  </si>
  <si>
    <t>0400-Skrzeka 2 -2a, 4 - 4a</t>
  </si>
  <si>
    <t>0432-Gliwicka 218 a-d, 220 a-d, 222 a-d</t>
  </si>
  <si>
    <t>0433-Janasa 3a,7a,15a, Ondraszka 11,19</t>
  </si>
  <si>
    <t>0434-Wyplera 7 bcd, 7ef, 7ghi, 7kl,9abc,9de, 9fgh</t>
  </si>
  <si>
    <t>Rok</t>
  </si>
  <si>
    <t>Termomodernizacja
zł/m2/m-c
 od 01.10.2014 
lokal mieszkalny z art. 4 ust. 1 i 2</t>
  </si>
  <si>
    <t>Termomodernizacja
zł/m2/m-c
 od 01.10.2015 
lokal mieszkalny z art. 4 ust. 1 i 2</t>
  </si>
  <si>
    <t>Termomodernizacja zł/m2/m-c
 od 01.10.2016 
lokal mieszkalny z art. 4 ust. 1 i 2</t>
  </si>
  <si>
    <t>Termomodernizacja zł/m2/m-c
 od 01.06.2018 
lokal mieszkalny z art. 4 ust. 1 i 2</t>
  </si>
  <si>
    <t xml:space="preserve">Termomodernizacja zł/m2/m-c
 od 01.06.2019 
lokal mieszkalny z art. 4 ust. 1 i 2 </t>
  </si>
  <si>
    <t>Termomodernizacja zł/m2/m-c
 od 01.04.2017 
lokal mieszkalny z art. 4 ust. 1 i 2</t>
  </si>
  <si>
    <t xml:space="preserve">Termomodernizacja zł/m2/m-c
 od 01.06.2020
lokal mieszkalny z art. 4 ust. 1 i 2 </t>
  </si>
  <si>
    <t>Katowice, dn. 06.05.2020r.</t>
  </si>
  <si>
    <t>Sporządziła: K. Banaszak, K.Kwaśny, E.Stroińska</t>
  </si>
  <si>
    <t>Płaca minimalna (brutto) w latach 2014-2020</t>
  </si>
  <si>
    <t>Stawka minimalna (brutto)</t>
  </si>
  <si>
    <t>Płaca minimalna (brutto)
w latach 2014-2020</t>
  </si>
  <si>
    <t>Fundusz remontowy 
podstawowy 
zł/m2/m-c
 od 01.10.2014 
lokal mieszkalny z art. 4 ust. 1 i 2</t>
  </si>
  <si>
    <t>Fundusz remontowy podstawowy 
zł/m2/m-c
 od 01.10.2015 
lokal mieszkalny z art. 4 ust. 1 i 2</t>
  </si>
  <si>
    <t>Fundusz remontowy podstawowy 
zł/m2/m-c
 od 01.10.2016 
lokal mieszkalny z art. 4 ust. 1 i 2</t>
  </si>
  <si>
    <t>Fundusz remontowy podstawowy 
zł/m2/m-c
 od 01.10.2017 
lokal mieszkalny z art. 4 ust. 1 i 2</t>
  </si>
  <si>
    <t>Fundusz remontowy podstawowy 
zł/m2/m-c
 od 01.06.2018 
lokal mieszkalny z art. 4 ust. 1 i 2</t>
  </si>
  <si>
    <t xml:space="preserve">Fundusz remontowy podstawowy 
zł/m2/m-c
 od 01.06.2019 
lokal mieszkalny z art. 4 ust. 1 i 2 </t>
  </si>
  <si>
    <t xml:space="preserve">Fundusz remontowy podstawowy 
zł/m2/m-c
 od 01.06.2020
lokal mieszkalny z art. 4 ust. 1 i 2 </t>
  </si>
  <si>
    <t>Fundusz remontowy 
urządzeń dźwigowych zł/m2/m-c
 od 01.10.2014 
lokal mieszkalny z art. 4 ust. 1 i 2</t>
  </si>
  <si>
    <t>Fundusz remontowy 
urządzeń dźwigowych zł/m2/m-c
 od 01.10.2015 
lokal mieszkalny z art. 4 ust. 1 i 2</t>
  </si>
  <si>
    <t>Fundusz remontowy 
urządzeń dźwigowych zł/m2/m-c
 od 01.10.2016 
lokal mieszkalny z art. 4 ust. 1 i 2</t>
  </si>
  <si>
    <t>Fundusz remontowy 
urządzeń dźwigowych zł/m2/m-c
 od 01.10.2017 
lokal mieszkalny z art. 4 ust. 1 i 2</t>
  </si>
  <si>
    <t>Fundusz remontowy 
urządzeń dźwigowych zł/m2/m-c
 od 01.06.2018 
lokal mieszkalny z art. 4 ust. 1 i 2</t>
  </si>
  <si>
    <t xml:space="preserve">Fundusz remontowy 
urządzeń dźwigowych zł/m2/m-c
 od 01.06.2019 
lokal mieszkalny z art. 4 ust. 1 i 2 </t>
  </si>
  <si>
    <t xml:space="preserve">Fundusz remontowy 
urządzeń dźwigowych zł/m2/m-c
 od 01.06.2020 
lokal mieszkalny z art. 4 ust. 1 i 2 </t>
  </si>
  <si>
    <t>Sporządziła: K. Banaszak</t>
  </si>
  <si>
    <t>Katowice, dn. 06.05.2020</t>
  </si>
  <si>
    <t>Odpis - "Termomodernizacja" w przeliczeniu zł/m2/m-c</t>
  </si>
  <si>
    <t>Odpis - "Remonty urządzeń dźwigowych" w przeliczeniu zł/m2/m-c</t>
  </si>
  <si>
    <t>Odpis - "Remonty podstawowe" w przeliczeniu zł/m2/m-c</t>
  </si>
  <si>
    <t>Lp.</t>
  </si>
  <si>
    <t>Wyszczególnienie</t>
  </si>
  <si>
    <t>Opłata - członkowie art. 4 ust. 1 uosm</t>
  </si>
  <si>
    <t>Opłata - członkowie art. 4 ust. 2 uosm</t>
  </si>
  <si>
    <t>Opłata - nie członkowie ekspektatywa bez członkostwa</t>
  </si>
  <si>
    <t>Kontrola szczelności instalacji gazowej</t>
  </si>
  <si>
    <t>..,..</t>
  </si>
  <si>
    <t>Kontrola przewodów kominowych</t>
  </si>
  <si>
    <t>Ubezpieczenia majątkowe</t>
  </si>
  <si>
    <t xml:space="preserve">Energia elektryczna </t>
  </si>
  <si>
    <t>Opłaty za dzierżawę, sądowe i inne</t>
  </si>
  <si>
    <t>Prace o charakterze eksploatacyjnym (w tym monitoring)</t>
  </si>
  <si>
    <t>Odczyty wodomierzy</t>
  </si>
  <si>
    <t>Koszty sprzątania pow. wewnętrzna</t>
  </si>
  <si>
    <t>Koszty sprzątania pow. zewnętrzna</t>
  </si>
  <si>
    <t>Koszty administrowania</t>
  </si>
  <si>
    <t>Koszty zarządzania Spółdzielnią</t>
  </si>
  <si>
    <t>Amortyzacja</t>
  </si>
  <si>
    <t>Koszty mienia osiedla do wspólnego korzystania</t>
  </si>
  <si>
    <t>Konserwacja instalacji zlecona na zewnątrz</t>
  </si>
  <si>
    <t>Konserwacja bieżąca siłami własnymi</t>
  </si>
  <si>
    <t>Dyżury elektryczne</t>
  </si>
  <si>
    <t>Wentylacja mechaniczna</t>
  </si>
  <si>
    <t>System oddymiający</t>
  </si>
  <si>
    <t>Czyszczenie rynien i udrażnianie rur spustowych</t>
  </si>
  <si>
    <t>Koszty z tyt. stałej konserwacji zestawu hydroforowego</t>
  </si>
  <si>
    <t>Dozór techniczny dżwigów</t>
  </si>
  <si>
    <t>Konserwacja z pomiarami dżwigów</t>
  </si>
  <si>
    <t>X</t>
  </si>
  <si>
    <t>Wynik z art. 6 uosm z okresu poprzedniego + saldo pożytków do rozliczenia za okres poprzedni</t>
  </si>
  <si>
    <t>Wzór kalkulacji opłat w składniku "Eksploatacja" na przykładzie regulacji przeprowadzonej z dniem 01.06.2020r.</t>
  </si>
  <si>
    <t>Planowany na rok 2020 koszt jednostkowy 
zł/m2/m-c</t>
  </si>
  <si>
    <t>Koszty planowane na rok 2020</t>
  </si>
  <si>
    <t xml:space="preserve">Razem koszty eksploatacji i utrzymania części wspólnej  nieruchomości planowane na 2020r.                     </t>
  </si>
  <si>
    <t>Ogółem koszty planowane na rok 2020 (2+3)</t>
  </si>
  <si>
    <t>Koszty mienia ogólnego Spółdzielni planowane na rok 2020r.</t>
  </si>
  <si>
    <t>Nadwyżka bilansowa za rok 2018</t>
  </si>
  <si>
    <t>Obliczona opłata do wprowadzenia z dniem 01.06.2020r.</t>
  </si>
  <si>
    <t>Zatwierdzona opłata do wprowadzenia z dniem 01.06.2020r. - zaokrąglona</t>
  </si>
  <si>
    <t>Skumulowana opłata zależna od Spółdzielni w przeliczeniu zł/m2/m-c
 od 01.06.2020
lokal mieszkalny z art. 4 ust. 1 i 2 * /x</t>
  </si>
  <si>
    <t>Opłata - nie członkowie art. 4 ust 4 (wyodrębnieni)</t>
  </si>
  <si>
    <t>Skumulowana opłata zależna od Spółdzielni w przeliczeniu zł/m2/m-c
 od 01.06.2021
lokal mieszkalny z art. 4 ust. 1 i 2 * /x</t>
  </si>
  <si>
    <t xml:space="preserve">Fundusz remontowy podstawowy 
zł/m2/m-c
 od 01.06.2021
lokal mieszkalny z art. 4 ust. 1 i 2 </t>
  </si>
  <si>
    <t xml:space="preserve">Termomodernizacja zł/m2/m-c
 od 01.06.2021
lokal mieszkalny z art. 4 ust. 1 i 2 </t>
  </si>
  <si>
    <t xml:space="preserve">Fundusz remontowy 
urządzeń dźwigowych zł/m2/m-c
 od 01.06.2021
lokal mieszkalny z art. 4 ust. 1 i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</si>
</sst>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,##0.00\ &quot;zł&quot;"/>
    <numFmt numFmtId="166" formatCode="#,##0.00_ ;[Red]\-#,##0.00\ "/>
    <numFmt numFmtId="167" formatCode="#,##0.0000"/>
    <numFmt numFmtId="168" formatCode="#,##0.0000_ ;[Red]\-#,##0.0000\ "/>
    <numFmt numFmtId="169" formatCode="0.00_ ;[Red]\-0.00\ "/>
    <numFmt numFmtId="170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name val="Arial CE"/>
      <charset val="238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name val="Trebuchet MS"/>
      <family val="2"/>
      <charset val="238"/>
    </font>
    <font>
      <b/>
      <sz val="11"/>
      <color theme="0"/>
      <name val="Trebuchet MS"/>
      <family val="2"/>
      <charset val="238"/>
    </font>
    <font>
      <sz val="11"/>
      <color theme="0"/>
      <name val="Trebuchet MS"/>
      <family val="2"/>
      <charset val="238"/>
    </font>
    <font>
      <sz val="11"/>
      <color theme="1"/>
      <name val="Trebuchet MS"/>
      <family val="2"/>
      <charset val="238"/>
    </font>
    <font>
      <sz val="11"/>
      <name val="Trebuchet MS"/>
      <family val="2"/>
      <charset val="238"/>
    </font>
    <font>
      <b/>
      <sz val="12"/>
      <name val="Trebuchet MS"/>
      <family val="2"/>
      <charset val="238"/>
    </font>
    <font>
      <sz val="12"/>
      <name val="Trebuchet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96">
    <xf numFmtId="0" fontId="0" fillId="0" borderId="0"/>
    <xf numFmtId="0" fontId="3" fillId="0" borderId="0"/>
    <xf numFmtId="0" fontId="8" fillId="0" borderId="0"/>
    <xf numFmtId="9" fontId="8" fillId="0" borderId="0" applyFont="0" applyFill="0" applyBorder="0" applyAlignment="0" applyProtection="0"/>
    <xf numFmtId="0" fontId="9" fillId="0" borderId="0"/>
    <xf numFmtId="0" fontId="5" fillId="0" borderId="0"/>
    <xf numFmtId="0" fontId="2" fillId="0" borderId="0"/>
    <xf numFmtId="0" fontId="1" fillId="0" borderId="0"/>
    <xf numFmtId="0" fontId="5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9" fillId="0" borderId="0"/>
    <xf numFmtId="0" fontId="1" fillId="0" borderId="0"/>
    <xf numFmtId="164" fontId="9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5">
    <xf numFmtId="0" fontId="0" fillId="0" borderId="0" xfId="0"/>
    <xf numFmtId="4" fontId="0" fillId="2" borderId="1" xfId="0" applyNumberFormat="1" applyFill="1" applyBorder="1" applyAlignment="1">
      <alignment horizontal="center" vertical="center"/>
    </xf>
    <xf numFmtId="0" fontId="0" fillId="2" borderId="0" xfId="0" applyFill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/>
    </xf>
    <xf numFmtId="0" fontId="4" fillId="2" borderId="5" xfId="0" applyFont="1" applyFill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2" fontId="0" fillId="2" borderId="1" xfId="0" applyNumberFormat="1" applyFill="1" applyBorder="1"/>
    <xf numFmtId="0" fontId="1" fillId="0" borderId="0" xfId="7"/>
    <xf numFmtId="0" fontId="4" fillId="0" borderId="1" xfId="7" applyFont="1" applyBorder="1"/>
    <xf numFmtId="0" fontId="4" fillId="0" borderId="1" xfId="7" applyFont="1" applyBorder="1" applyAlignment="1">
      <alignment horizontal="center"/>
    </xf>
    <xf numFmtId="0" fontId="1" fillId="0" borderId="1" xfId="7" applyBorder="1" applyAlignment="1">
      <alignment horizontal="center" vertical="center" wrapText="1"/>
    </xf>
    <xf numFmtId="165" fontId="1" fillId="0" borderId="1" xfId="7" applyNumberFormat="1" applyBorder="1"/>
    <xf numFmtId="0" fontId="0" fillId="2" borderId="0" xfId="0" applyFill="1" applyAlignment="1">
      <alignment horizontal="left" wrapText="1"/>
    </xf>
    <xf numFmtId="2" fontId="0" fillId="0" borderId="1" xfId="0" applyNumberFormat="1" applyBorder="1" applyAlignment="1">
      <alignment horizontal="right" vertical="center"/>
    </xf>
    <xf numFmtId="2" fontId="0" fillId="0" borderId="6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13" fillId="0" borderId="0" xfId="7" applyFont="1"/>
    <xf numFmtId="0" fontId="14" fillId="0" borderId="0" xfId="7" applyFont="1"/>
    <xf numFmtId="170" fontId="11" fillId="0" borderId="0" xfId="7" applyNumberFormat="1" applyFont="1" applyAlignment="1">
      <alignment horizontal="left" vertical="center" wrapText="1"/>
    </xf>
    <xf numFmtId="0" fontId="12" fillId="2" borderId="0" xfId="7" applyFont="1" applyFill="1" applyAlignment="1">
      <alignment vertical="center"/>
    </xf>
    <xf numFmtId="0" fontId="11" fillId="2" borderId="0" xfId="7" applyFont="1" applyFill="1" applyAlignment="1">
      <alignment vertical="center"/>
    </xf>
    <xf numFmtId="0" fontId="13" fillId="2" borderId="0" xfId="7" applyFont="1" applyFill="1"/>
    <xf numFmtId="0" fontId="14" fillId="2" borderId="0" xfId="7" applyFont="1" applyFill="1"/>
    <xf numFmtId="0" fontId="15" fillId="2" borderId="0" xfId="7" applyFont="1" applyFill="1"/>
    <xf numFmtId="0" fontId="14" fillId="2" borderId="0" xfId="7" applyFont="1" applyFill="1" applyAlignment="1">
      <alignment vertical="center"/>
    </xf>
    <xf numFmtId="0" fontId="13" fillId="2" borderId="0" xfId="7" applyFont="1" applyFill="1" applyAlignment="1">
      <alignment vertical="center"/>
    </xf>
    <xf numFmtId="0" fontId="14" fillId="0" borderId="0" xfId="7" applyFont="1" applyAlignment="1">
      <alignment vertical="center"/>
    </xf>
    <xf numFmtId="0" fontId="15" fillId="2" borderId="0" xfId="7" applyFont="1" applyFill="1" applyAlignment="1">
      <alignment vertical="center"/>
    </xf>
    <xf numFmtId="166" fontId="15" fillId="2" borderId="0" xfId="7" applyNumberFormat="1" applyFont="1" applyFill="1" applyAlignment="1">
      <alignment vertical="center"/>
    </xf>
    <xf numFmtId="166" fontId="14" fillId="2" borderId="0" xfId="7" applyNumberFormat="1" applyFont="1" applyFill="1"/>
    <xf numFmtId="166" fontId="14" fillId="2" borderId="0" xfId="7" applyNumberFormat="1" applyFont="1" applyFill="1" applyAlignment="1">
      <alignment horizontal="center"/>
    </xf>
    <xf numFmtId="0" fontId="16" fillId="0" borderId="21" xfId="7" applyFont="1" applyBorder="1" applyAlignment="1">
      <alignment horizontal="center" vertical="center"/>
    </xf>
    <xf numFmtId="0" fontId="16" fillId="0" borderId="20" xfId="7" applyFont="1" applyBorder="1" applyAlignment="1">
      <alignment horizontal="center" vertical="center" wrapText="1"/>
    </xf>
    <xf numFmtId="0" fontId="17" fillId="0" borderId="1" xfId="7" applyFont="1" applyBorder="1" applyAlignment="1">
      <alignment vertical="center"/>
    </xf>
    <xf numFmtId="0" fontId="17" fillId="2" borderId="1" xfId="7" applyFont="1" applyFill="1" applyBorder="1" applyAlignment="1">
      <alignment vertical="center"/>
    </xf>
    <xf numFmtId="0" fontId="17" fillId="2" borderId="1" xfId="7" applyFont="1" applyFill="1" applyBorder="1" applyAlignment="1">
      <alignment horizontal="left" vertical="center" wrapText="1"/>
    </xf>
    <xf numFmtId="0" fontId="17" fillId="2" borderId="5" xfId="7" applyFont="1" applyFill="1" applyBorder="1" applyAlignment="1">
      <alignment vertical="center"/>
    </xf>
    <xf numFmtId="0" fontId="17" fillId="0" borderId="13" xfId="7" applyFont="1" applyBorder="1" applyAlignment="1">
      <alignment horizontal="center" vertical="center"/>
    </xf>
    <xf numFmtId="0" fontId="16" fillId="2" borderId="12" xfId="7" applyFont="1" applyFill="1" applyBorder="1" applyAlignment="1">
      <alignment horizontal="left" vertical="center" wrapText="1"/>
    </xf>
    <xf numFmtId="0" fontId="17" fillId="0" borderId="17" xfId="7" applyFont="1" applyBorder="1" applyAlignment="1">
      <alignment horizontal="center" vertical="center"/>
    </xf>
    <xf numFmtId="0" fontId="16" fillId="2" borderId="16" xfId="7" applyFont="1" applyFill="1" applyBorder="1" applyAlignment="1">
      <alignment horizontal="left" vertical="center" wrapText="1"/>
    </xf>
    <xf numFmtId="0" fontId="17" fillId="0" borderId="22" xfId="7" applyFont="1" applyBorder="1" applyAlignment="1">
      <alignment horizontal="center" vertical="center"/>
    </xf>
    <xf numFmtId="0" fontId="16" fillId="0" borderId="23" xfId="7" applyFont="1" applyBorder="1" applyAlignment="1">
      <alignment vertical="center" wrapText="1"/>
    </xf>
    <xf numFmtId="0" fontId="17" fillId="3" borderId="13" xfId="7" applyFont="1" applyFill="1" applyBorder="1" applyAlignment="1">
      <alignment horizontal="center" vertical="center"/>
    </xf>
    <xf numFmtId="0" fontId="16" fillId="3" borderId="12" xfId="7" applyFont="1" applyFill="1" applyBorder="1" applyAlignment="1">
      <alignment horizontal="left" vertical="center" wrapText="1"/>
    </xf>
    <xf numFmtId="0" fontId="16" fillId="3" borderId="12" xfId="7" applyFont="1" applyFill="1" applyBorder="1" applyAlignment="1">
      <alignment horizontal="center" vertical="center" wrapText="1"/>
    </xf>
    <xf numFmtId="0" fontId="17" fillId="3" borderId="11" xfId="7" applyFont="1" applyFill="1" applyBorder="1" applyAlignment="1">
      <alignment horizontal="center" vertical="center"/>
    </xf>
    <xf numFmtId="0" fontId="16" fillId="3" borderId="10" xfId="7" applyFont="1" applyFill="1" applyBorder="1" applyAlignment="1">
      <alignment horizontal="left" vertical="center" wrapText="1"/>
    </xf>
    <xf numFmtId="4" fontId="16" fillId="2" borderId="20" xfId="7" applyNumberFormat="1" applyFont="1" applyFill="1" applyBorder="1" applyAlignment="1">
      <alignment horizontal="center" vertical="center" wrapText="1"/>
    </xf>
    <xf numFmtId="0" fontId="17" fillId="2" borderId="20" xfId="7" applyFont="1" applyFill="1" applyBorder="1" applyAlignment="1">
      <alignment horizontal="center" vertical="center" wrapText="1"/>
    </xf>
    <xf numFmtId="169" fontId="17" fillId="2" borderId="20" xfId="7" applyNumberFormat="1" applyFont="1" applyFill="1" applyBorder="1" applyAlignment="1">
      <alignment horizontal="center" vertical="center" wrapText="1"/>
    </xf>
    <xf numFmtId="0" fontId="17" fillId="2" borderId="18" xfId="7" applyFont="1" applyFill="1" applyBorder="1" applyAlignment="1">
      <alignment horizontal="center" vertical="center" wrapText="1"/>
    </xf>
    <xf numFmtId="166" fontId="16" fillId="2" borderId="1" xfId="7" applyNumberFormat="1" applyFont="1" applyFill="1" applyBorder="1" applyAlignment="1">
      <alignment horizontal="center" vertical="center" wrapText="1"/>
    </xf>
    <xf numFmtId="166" fontId="16" fillId="2" borderId="7" xfId="7" applyNumberFormat="1" applyFont="1" applyFill="1" applyBorder="1" applyAlignment="1">
      <alignment horizontal="center" vertical="center" wrapText="1"/>
    </xf>
    <xf numFmtId="168" fontId="17" fillId="2" borderId="1" xfId="7" applyNumberFormat="1" applyFont="1" applyFill="1" applyBorder="1" applyAlignment="1">
      <alignment horizontal="center" vertical="center" wrapText="1"/>
    </xf>
    <xf numFmtId="167" fontId="17" fillId="2" borderId="7" xfId="7" applyNumberFormat="1" applyFont="1" applyFill="1" applyBorder="1" applyAlignment="1">
      <alignment horizontal="center" vertical="center"/>
    </xf>
    <xf numFmtId="167" fontId="17" fillId="2" borderId="14" xfId="7" applyNumberFormat="1" applyFont="1" applyFill="1" applyBorder="1" applyAlignment="1">
      <alignment horizontal="center" vertical="center"/>
    </xf>
    <xf numFmtId="167" fontId="16" fillId="2" borderId="12" xfId="7" applyNumberFormat="1" applyFont="1" applyFill="1" applyBorder="1" applyAlignment="1">
      <alignment horizontal="center" vertical="center" wrapText="1"/>
    </xf>
    <xf numFmtId="167" fontId="16" fillId="2" borderId="12" xfId="7" applyNumberFormat="1" applyFont="1" applyFill="1" applyBorder="1" applyAlignment="1">
      <alignment horizontal="center" vertical="center"/>
    </xf>
    <xf numFmtId="167" fontId="16" fillId="2" borderId="9" xfId="7" applyNumberFormat="1" applyFont="1" applyFill="1" applyBorder="1" applyAlignment="1">
      <alignment horizontal="center" vertical="center"/>
    </xf>
    <xf numFmtId="4" fontId="14" fillId="2" borderId="0" xfId="7" applyNumberFormat="1" applyFont="1" applyFill="1"/>
    <xf numFmtId="0" fontId="17" fillId="2" borderId="13" xfId="7" applyFont="1" applyFill="1" applyBorder="1" applyAlignment="1">
      <alignment horizontal="center" vertical="center"/>
    </xf>
    <xf numFmtId="0" fontId="16" fillId="2" borderId="12" xfId="7" applyFont="1" applyFill="1" applyBorder="1" applyAlignment="1">
      <alignment vertical="center" wrapText="1"/>
    </xf>
    <xf numFmtId="0" fontId="17" fillId="2" borderId="5" xfId="7" applyFont="1" applyFill="1" applyBorder="1" applyAlignment="1">
      <alignment horizontal="center" vertical="center"/>
    </xf>
    <xf numFmtId="2" fontId="16" fillId="2" borderId="5" xfId="7" applyNumberFormat="1" applyFont="1" applyFill="1" applyBorder="1" applyAlignment="1">
      <alignment vertical="center" wrapText="1"/>
    </xf>
    <xf numFmtId="4" fontId="0" fillId="0" borderId="1" xfId="0" applyNumberForma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7" applyFont="1" applyAlignment="1">
      <alignment horizontal="center" vertical="center" wrapText="1"/>
    </xf>
    <xf numFmtId="0" fontId="16" fillId="0" borderId="19" xfId="7" applyFont="1" applyBorder="1" applyAlignment="1">
      <alignment horizontal="center" vertical="center"/>
    </xf>
    <xf numFmtId="0" fontId="16" fillId="0" borderId="3" xfId="7" applyFont="1" applyBorder="1" applyAlignment="1">
      <alignment horizontal="center" vertical="center"/>
    </xf>
    <xf numFmtId="0" fontId="16" fillId="0" borderId="4" xfId="7" applyFont="1" applyBorder="1" applyAlignment="1">
      <alignment horizontal="center" vertical="center"/>
    </xf>
    <xf numFmtId="0" fontId="17" fillId="0" borderId="8" xfId="7" applyFont="1" applyBorder="1" applyAlignment="1">
      <alignment horizontal="center" vertical="center"/>
    </xf>
    <xf numFmtId="0" fontId="17" fillId="0" borderId="15" xfId="7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0" xfId="7" applyFont="1" applyAlignment="1">
      <alignment horizontal="center"/>
    </xf>
    <xf numFmtId="0" fontId="1" fillId="0" borderId="1" xfId="7" applyBorder="1" applyAlignment="1">
      <alignment horizontal="center"/>
    </xf>
  </cellXfs>
  <cellStyles count="96">
    <cellStyle name="Dziesiętny 2" xfId="11" xr:uid="{00000000-0005-0000-0000-000000000000}"/>
    <cellStyle name="Dziesiętny 2 2" xfId="24" xr:uid="{00000000-0005-0000-0000-000001000000}"/>
    <cellStyle name="Dziesiętny 2 2 2" xfId="35" xr:uid="{00000000-0005-0000-0000-000002000000}"/>
    <cellStyle name="Dziesiętny 2 2 2 2" xfId="88" xr:uid="{00000000-0005-0000-0000-000003000000}"/>
    <cellStyle name="Dziesiętny 2 2 3" xfId="65" xr:uid="{00000000-0005-0000-0000-000004000000}"/>
    <cellStyle name="Dziesiętny 2 3" xfId="30" xr:uid="{00000000-0005-0000-0000-000005000000}"/>
    <cellStyle name="Dziesiętny 2 3 2" xfId="82" xr:uid="{00000000-0005-0000-0000-000006000000}"/>
    <cellStyle name="Dziesiętny 2 4" xfId="63" xr:uid="{00000000-0005-0000-0000-000007000000}"/>
    <cellStyle name="Dziesiętny 2 4 2" xfId="86" xr:uid="{00000000-0005-0000-0000-000008000000}"/>
    <cellStyle name="Dziesiętny 2 5" xfId="85" xr:uid="{00000000-0005-0000-0000-000009000000}"/>
    <cellStyle name="Dziesiętny 3" xfId="23" xr:uid="{00000000-0005-0000-0000-00000A000000}"/>
    <cellStyle name="Dziesiętny 3 2" xfId="34" xr:uid="{00000000-0005-0000-0000-00000B000000}"/>
    <cellStyle name="Dziesiętny 3 2 2" xfId="87" xr:uid="{00000000-0005-0000-0000-00000C000000}"/>
    <cellStyle name="Dziesiętny 3 3" xfId="64" xr:uid="{00000000-0005-0000-0000-00000D000000}"/>
    <cellStyle name="Dziesiętny 4" xfId="10" xr:uid="{00000000-0005-0000-0000-00000E000000}"/>
    <cellStyle name="Dziesiętny 4 2" xfId="62" xr:uid="{00000000-0005-0000-0000-00000F000000}"/>
    <cellStyle name="Normalny" xfId="0" builtinId="0"/>
    <cellStyle name="Normalny 10" xfId="8" xr:uid="{00000000-0005-0000-0000-000011000000}"/>
    <cellStyle name="Normalny 11" xfId="45" xr:uid="{00000000-0005-0000-0000-000012000000}"/>
    <cellStyle name="Normalny 11 2" xfId="48" xr:uid="{00000000-0005-0000-0000-000013000000}"/>
    <cellStyle name="Normalny 11 2 2" xfId="74" xr:uid="{00000000-0005-0000-0000-000014000000}"/>
    <cellStyle name="Normalny 11 3" xfId="72" xr:uid="{00000000-0005-0000-0000-000015000000}"/>
    <cellStyle name="Normalny 12" xfId="50" xr:uid="{00000000-0005-0000-0000-000016000000}"/>
    <cellStyle name="Normalny 12 2" xfId="75" xr:uid="{00000000-0005-0000-0000-000017000000}"/>
    <cellStyle name="Normalny 13" xfId="51" xr:uid="{00000000-0005-0000-0000-000018000000}"/>
    <cellStyle name="Normalny 14" xfId="91" xr:uid="{00000000-0005-0000-0000-000019000000}"/>
    <cellStyle name="Normalny 15" xfId="95" xr:uid="{00000000-0005-0000-0000-00001A000000}"/>
    <cellStyle name="Normalny 2" xfId="2" xr:uid="{00000000-0005-0000-0000-00001B000000}"/>
    <cellStyle name="Normalny 2 2" xfId="4" xr:uid="{00000000-0005-0000-0000-00001C000000}"/>
    <cellStyle name="Normalny 3" xfId="1" xr:uid="{00000000-0005-0000-0000-00001D000000}"/>
    <cellStyle name="Normalny 3 2" xfId="32" xr:uid="{00000000-0005-0000-0000-00001E000000}"/>
    <cellStyle name="Normalny 3 2 2" xfId="38" xr:uid="{00000000-0005-0000-0000-00001F000000}"/>
    <cellStyle name="Normalny 3 2 2 2" xfId="67" xr:uid="{00000000-0005-0000-0000-000020000000}"/>
    <cellStyle name="Normalny 3 2 3" xfId="42" xr:uid="{00000000-0005-0000-0000-000021000000}"/>
    <cellStyle name="Normalny 3 2 3 2" xfId="69" xr:uid="{00000000-0005-0000-0000-000022000000}"/>
    <cellStyle name="Normalny 3 2 3 3" xfId="66" xr:uid="{00000000-0005-0000-0000-000023000000}"/>
    <cellStyle name="Normalny 3 2 4" xfId="44" xr:uid="{00000000-0005-0000-0000-000024000000}"/>
    <cellStyle name="Normalny 3 2 4 2" xfId="71" xr:uid="{00000000-0005-0000-0000-000025000000}"/>
    <cellStyle name="Normalny 3 2 5" xfId="61" xr:uid="{00000000-0005-0000-0000-000026000000}"/>
    <cellStyle name="Normalny 3 3" xfId="37" xr:uid="{00000000-0005-0000-0000-000027000000}"/>
    <cellStyle name="Normalny 3 3 2" xfId="60" xr:uid="{00000000-0005-0000-0000-000028000000}"/>
    <cellStyle name="Normalny 3 3 2 2" xfId="90" xr:uid="{00000000-0005-0000-0000-000029000000}"/>
    <cellStyle name="Normalny 3 3 2 3" xfId="89" xr:uid="{00000000-0005-0000-0000-00002A000000}"/>
    <cellStyle name="Normalny 3 3 3" xfId="78" xr:uid="{00000000-0005-0000-0000-00002B000000}"/>
    <cellStyle name="Normalny 3 3 4" xfId="93" xr:uid="{00000000-0005-0000-0000-00002C000000}"/>
    <cellStyle name="Normalny 3 4" xfId="41" xr:uid="{00000000-0005-0000-0000-00002D000000}"/>
    <cellStyle name="Normalny 3 4 2" xfId="68" xr:uid="{00000000-0005-0000-0000-00002E000000}"/>
    <cellStyle name="Normalny 3 4 3" xfId="83" xr:uid="{00000000-0005-0000-0000-00002F000000}"/>
    <cellStyle name="Normalny 3 5" xfId="43" xr:uid="{00000000-0005-0000-0000-000030000000}"/>
    <cellStyle name="Normalny 3 5 2" xfId="70" xr:uid="{00000000-0005-0000-0000-000031000000}"/>
    <cellStyle name="Normalny 3 6" xfId="47" xr:uid="{00000000-0005-0000-0000-000032000000}"/>
    <cellStyle name="Normalny 3 6 2" xfId="73" xr:uid="{00000000-0005-0000-0000-000033000000}"/>
    <cellStyle name="Normalny 3 7" xfId="76" xr:uid="{00000000-0005-0000-0000-000034000000}"/>
    <cellStyle name="Normalny 3 8" xfId="92" xr:uid="{00000000-0005-0000-0000-000035000000}"/>
    <cellStyle name="Normalny 3 9" xfId="17" xr:uid="{00000000-0005-0000-0000-000036000000}"/>
    <cellStyle name="Normalny 4" xfId="6" xr:uid="{00000000-0005-0000-0000-000037000000}"/>
    <cellStyle name="Normalny 4 2" xfId="7" xr:uid="{00000000-0005-0000-0000-000038000000}"/>
    <cellStyle name="Normalny 4 2 2" xfId="28" xr:uid="{00000000-0005-0000-0000-000039000000}"/>
    <cellStyle name="Normalny 4 3" xfId="33" xr:uid="{00000000-0005-0000-0000-00003A000000}"/>
    <cellStyle name="Normalny 4 4" xfId="31" xr:uid="{00000000-0005-0000-0000-00003B000000}"/>
    <cellStyle name="Normalny 4 5" xfId="19" xr:uid="{00000000-0005-0000-0000-00003C000000}"/>
    <cellStyle name="Normalny 5" xfId="15" xr:uid="{00000000-0005-0000-0000-00003D000000}"/>
    <cellStyle name="Normalny 5 2" xfId="26" xr:uid="{00000000-0005-0000-0000-00003E000000}"/>
    <cellStyle name="Normalny 5 2 2" xfId="39" xr:uid="{00000000-0005-0000-0000-00003F000000}"/>
    <cellStyle name="Normalny 5 2 3" xfId="59" xr:uid="{00000000-0005-0000-0000-000040000000}"/>
    <cellStyle name="Normalny 5 3" xfId="36" xr:uid="{00000000-0005-0000-0000-000041000000}"/>
    <cellStyle name="Normalny 5 3 2" xfId="77" xr:uid="{00000000-0005-0000-0000-000042000000}"/>
    <cellStyle name="Normalny 5 4" xfId="53" xr:uid="{00000000-0005-0000-0000-000043000000}"/>
    <cellStyle name="Normalny 5 4 2" xfId="80" xr:uid="{00000000-0005-0000-0000-000044000000}"/>
    <cellStyle name="Normalny 5 5" xfId="79" xr:uid="{00000000-0005-0000-0000-000045000000}"/>
    <cellStyle name="Normalny 6" xfId="20" xr:uid="{00000000-0005-0000-0000-000046000000}"/>
    <cellStyle name="Normalny 6 2" xfId="29" xr:uid="{00000000-0005-0000-0000-000047000000}"/>
    <cellStyle name="Normalny 6 3" xfId="55" xr:uid="{00000000-0005-0000-0000-000048000000}"/>
    <cellStyle name="Normalny 6 4" xfId="84" xr:uid="{00000000-0005-0000-0000-000049000000}"/>
    <cellStyle name="Normalny 7" xfId="5" xr:uid="{00000000-0005-0000-0000-00004A000000}"/>
    <cellStyle name="Normalny 7 2" xfId="40" xr:uid="{00000000-0005-0000-0000-00004B000000}"/>
    <cellStyle name="Normalny 7 3" xfId="57" xr:uid="{00000000-0005-0000-0000-00004C000000}"/>
    <cellStyle name="Normalny 7 4" xfId="22" xr:uid="{00000000-0005-0000-0000-00004D000000}"/>
    <cellStyle name="Normalny 8" xfId="21" xr:uid="{00000000-0005-0000-0000-00004E000000}"/>
    <cellStyle name="Normalny 8 2" xfId="56" xr:uid="{00000000-0005-0000-0000-00004F000000}"/>
    <cellStyle name="Normalny 9" xfId="9" xr:uid="{00000000-0005-0000-0000-000050000000}"/>
    <cellStyle name="Normalny 9 2" xfId="46" xr:uid="{00000000-0005-0000-0000-000051000000}"/>
    <cellStyle name="Normalny 9 2 2" xfId="81" xr:uid="{00000000-0005-0000-0000-000052000000}"/>
    <cellStyle name="Normalny 9 2 3" xfId="94" xr:uid="{00000000-0005-0000-0000-000053000000}"/>
    <cellStyle name="Normalny 9 3" xfId="52" xr:uid="{00000000-0005-0000-0000-000054000000}"/>
    <cellStyle name="Procentowy 2" xfId="3" xr:uid="{00000000-0005-0000-0000-000055000000}"/>
    <cellStyle name="Procentowy 2 2" xfId="14" xr:uid="{00000000-0005-0000-0000-000056000000}"/>
    <cellStyle name="Procentowy 2 3" xfId="13" xr:uid="{00000000-0005-0000-0000-000057000000}"/>
    <cellStyle name="Procentowy 3" xfId="18" xr:uid="{00000000-0005-0000-0000-000058000000}"/>
    <cellStyle name="Procentowy 4" xfId="16" xr:uid="{00000000-0005-0000-0000-000059000000}"/>
    <cellStyle name="Procentowy 4 2" xfId="27" xr:uid="{00000000-0005-0000-0000-00005A000000}"/>
    <cellStyle name="Procentowy 4 3" xfId="54" xr:uid="{00000000-0005-0000-0000-00005B000000}"/>
    <cellStyle name="Procentowy 5" xfId="25" xr:uid="{00000000-0005-0000-0000-00005C000000}"/>
    <cellStyle name="Procentowy 5 2" xfId="49" xr:uid="{00000000-0005-0000-0000-00005D000000}"/>
    <cellStyle name="Procentowy 5 3" xfId="58" xr:uid="{00000000-0005-0000-0000-00005E000000}"/>
    <cellStyle name="Procentowy 6" xfId="12" xr:uid="{00000000-0005-0000-0000-00005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Płaca minimalna (brutto) w latach 2014-2020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Płaca_minimalna_2014_2020!$B$4:$H$4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Płaca_minimalna_2014_2020!$B$5:$H$5</c:f>
              <c:numCache>
                <c:formatCode>#\ ##0.00\ "zł"</c:formatCode>
                <c:ptCount val="7"/>
                <c:pt idx="0">
                  <c:v>1680</c:v>
                </c:pt>
                <c:pt idx="1">
                  <c:v>1750</c:v>
                </c:pt>
                <c:pt idx="2">
                  <c:v>1850</c:v>
                </c:pt>
                <c:pt idx="3">
                  <c:v>2000</c:v>
                </c:pt>
                <c:pt idx="4">
                  <c:v>2100</c:v>
                </c:pt>
                <c:pt idx="5">
                  <c:v>2250</c:v>
                </c:pt>
                <c:pt idx="6">
                  <c:v>2600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2B-4E6A-91F9-23341CBCF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3850144"/>
        <c:axId val="129923256"/>
      </c:barChart>
      <c:catAx>
        <c:axId val="18385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29923256"/>
        <c:crosses val="autoZero"/>
        <c:auto val="1"/>
        <c:lblAlgn val="ctr"/>
        <c:lblOffset val="100"/>
        <c:noMultiLvlLbl val="0"/>
      </c:catAx>
      <c:valAx>
        <c:axId val="129923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\ &quot;zł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83850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10</xdr:row>
      <xdr:rowOff>9525</xdr:rowOff>
    </xdr:from>
    <xdr:to>
      <xdr:col>9</xdr:col>
      <xdr:colOff>361949</xdr:colOff>
      <xdr:row>28</xdr:row>
      <xdr:rowOff>180974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E6C2DF30-AB44-41C4-92F3-2A7E1DAC55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I243"/>
  <sheetViews>
    <sheetView tabSelected="1" topLeftCell="A79" zoomScale="70" zoomScaleNormal="70" zoomScaleSheetLayoutView="70" workbookViewId="0">
      <selection activeCell="K1" sqref="K1"/>
    </sheetView>
  </sheetViews>
  <sheetFormatPr defaultColWidth="9.109375" defaultRowHeight="14.4" x14ac:dyDescent="0.3"/>
  <cols>
    <col min="1" max="1" width="45.33203125" style="6" bestFit="1" customWidth="1"/>
    <col min="2" max="9" width="20.6640625" style="2" customWidth="1"/>
    <col min="10" max="16384" width="9.109375" style="2"/>
  </cols>
  <sheetData>
    <row r="1" spans="1:9" ht="36" customHeight="1" x14ac:dyDescent="0.3">
      <c r="A1" s="70"/>
      <c r="B1" s="70"/>
      <c r="C1" s="70"/>
      <c r="D1" s="70"/>
      <c r="E1" s="70"/>
      <c r="F1" s="70"/>
      <c r="G1" s="70"/>
      <c r="H1" s="70"/>
    </row>
    <row r="3" spans="1:9" ht="114" customHeight="1" x14ac:dyDescent="0.3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196</v>
      </c>
      <c r="I3" s="4" t="s">
        <v>198</v>
      </c>
    </row>
    <row r="4" spans="1:9" s="5" customFormat="1" ht="30" customHeight="1" x14ac:dyDescent="0.3">
      <c r="A4" s="71" t="s">
        <v>8</v>
      </c>
      <c r="B4" s="1">
        <f>1.74+0.46+0.19</f>
        <v>2.39</v>
      </c>
      <c r="C4" s="1">
        <f>2.07+0.2+0.47</f>
        <v>2.74</v>
      </c>
      <c r="D4" s="1">
        <f>2.42+0.42+0.2</f>
        <v>3.04</v>
      </c>
      <c r="E4" s="1">
        <v>3.1</v>
      </c>
      <c r="F4" s="1">
        <v>3.06</v>
      </c>
      <c r="G4" s="1">
        <v>3.27</v>
      </c>
      <c r="H4" s="1">
        <v>3.9074330634862982</v>
      </c>
      <c r="I4" s="69">
        <v>3.91</v>
      </c>
    </row>
    <row r="5" spans="1:9" s="5" customFormat="1" ht="64.5" customHeight="1" x14ac:dyDescent="0.3">
      <c r="A5" s="71"/>
      <c r="B5" s="73"/>
      <c r="C5" s="74"/>
      <c r="D5" s="74"/>
      <c r="E5" s="74"/>
      <c r="F5" s="74"/>
      <c r="G5" s="74"/>
      <c r="H5" s="74"/>
      <c r="I5" s="75"/>
    </row>
    <row r="6" spans="1:9" s="5" customFormat="1" ht="30" customHeight="1" x14ac:dyDescent="0.3">
      <c r="A6" s="71" t="s">
        <v>9</v>
      </c>
      <c r="B6" s="1">
        <f>1.7+0.46+0.19</f>
        <v>2.35</v>
      </c>
      <c r="C6" s="1">
        <f>1.45+0.2+0.47</f>
        <v>2.12</v>
      </c>
      <c r="D6" s="1">
        <f>1.56+0.47+0.2</f>
        <v>2.2300000000000004</v>
      </c>
      <c r="E6" s="1">
        <v>1.71</v>
      </c>
      <c r="F6" s="1">
        <v>1.71</v>
      </c>
      <c r="G6" s="1">
        <v>1.82</v>
      </c>
      <c r="H6" s="1">
        <v>3.0419927408079928</v>
      </c>
      <c r="I6" s="69">
        <v>2.8</v>
      </c>
    </row>
    <row r="7" spans="1:9" s="5" customFormat="1" ht="64.5" customHeight="1" x14ac:dyDescent="0.3">
      <c r="A7" s="71"/>
      <c r="B7" s="73"/>
      <c r="C7" s="74"/>
      <c r="D7" s="74"/>
      <c r="E7" s="74"/>
      <c r="F7" s="74"/>
      <c r="G7" s="74"/>
      <c r="H7" s="74"/>
      <c r="I7" s="75"/>
    </row>
    <row r="8" spans="1:9" s="5" customFormat="1" ht="30" customHeight="1" x14ac:dyDescent="0.3">
      <c r="A8" s="71" t="s">
        <v>10</v>
      </c>
      <c r="B8" s="1">
        <f>1.74+0.46+0.19</f>
        <v>2.39</v>
      </c>
      <c r="C8" s="1">
        <f>2.05+0.2+0.47</f>
        <v>2.7199999999999998</v>
      </c>
      <c r="D8" s="1">
        <f>1.79+0.47+0.2</f>
        <v>2.46</v>
      </c>
      <c r="E8" s="1">
        <v>2.38</v>
      </c>
      <c r="F8" s="1">
        <v>2.2400000000000002</v>
      </c>
      <c r="G8" s="1">
        <v>2.98</v>
      </c>
      <c r="H8" s="1">
        <v>3.9181578546680536</v>
      </c>
      <c r="I8" s="69">
        <v>3.92</v>
      </c>
    </row>
    <row r="9" spans="1:9" s="5" customFormat="1" ht="64.5" customHeight="1" x14ac:dyDescent="0.3">
      <c r="A9" s="71"/>
      <c r="B9" s="73"/>
      <c r="C9" s="74"/>
      <c r="D9" s="74"/>
      <c r="E9" s="74"/>
      <c r="F9" s="74"/>
      <c r="G9" s="74"/>
      <c r="H9" s="74"/>
      <c r="I9" s="75"/>
    </row>
    <row r="10" spans="1:9" s="5" customFormat="1" ht="30" customHeight="1" x14ac:dyDescent="0.3">
      <c r="A10" s="71" t="s">
        <v>11</v>
      </c>
      <c r="B10" s="1">
        <f>1.74+0.46+0.3</f>
        <v>2.5</v>
      </c>
      <c r="C10" s="1">
        <f>1.5+0.47+0.28</f>
        <v>2.25</v>
      </c>
      <c r="D10" s="1">
        <f>1.78+0.47+0.28</f>
        <v>2.5300000000000002</v>
      </c>
      <c r="E10" s="1">
        <v>2.5099999999999998</v>
      </c>
      <c r="F10" s="1">
        <v>2.41</v>
      </c>
      <c r="G10" s="1">
        <v>2.5</v>
      </c>
      <c r="H10" s="1">
        <v>3.4686501489267356</v>
      </c>
      <c r="I10" s="69">
        <v>3.47</v>
      </c>
    </row>
    <row r="11" spans="1:9" s="5" customFormat="1" ht="65.099999999999994" customHeight="1" x14ac:dyDescent="0.3">
      <c r="A11" s="71"/>
      <c r="B11" s="73"/>
      <c r="C11" s="74"/>
      <c r="D11" s="74"/>
      <c r="E11" s="74"/>
      <c r="F11" s="74"/>
      <c r="G11" s="74"/>
      <c r="H11" s="74"/>
      <c r="I11" s="75"/>
    </row>
    <row r="12" spans="1:9" s="5" customFormat="1" ht="30" customHeight="1" x14ac:dyDescent="0.3">
      <c r="A12" s="71" t="s">
        <v>12</v>
      </c>
      <c r="B12" s="1">
        <f>1.74+0.46+0.3</f>
        <v>2.5</v>
      </c>
      <c r="C12" s="1">
        <f>2.1+0.47+0.38</f>
        <v>2.95</v>
      </c>
      <c r="D12" s="1">
        <f>2.18+0.42+0.38</f>
        <v>2.98</v>
      </c>
      <c r="E12" s="1">
        <v>3.01</v>
      </c>
      <c r="F12" s="1">
        <v>2.98</v>
      </c>
      <c r="G12" s="1">
        <v>3.05</v>
      </c>
      <c r="H12" s="1">
        <v>3.6531358511280159</v>
      </c>
      <c r="I12" s="69">
        <v>3.65</v>
      </c>
    </row>
    <row r="13" spans="1:9" s="5" customFormat="1" ht="65.099999999999994" customHeight="1" x14ac:dyDescent="0.3">
      <c r="A13" s="71"/>
      <c r="B13" s="73"/>
      <c r="C13" s="74"/>
      <c r="D13" s="74"/>
      <c r="E13" s="74"/>
      <c r="F13" s="74"/>
      <c r="G13" s="74"/>
      <c r="H13" s="74"/>
      <c r="I13" s="75"/>
    </row>
    <row r="14" spans="1:9" s="5" customFormat="1" ht="30" customHeight="1" x14ac:dyDescent="0.3">
      <c r="A14" s="71" t="s">
        <v>13</v>
      </c>
      <c r="B14" s="1">
        <f>1.74+0.46+0.19</f>
        <v>2.39</v>
      </c>
      <c r="C14" s="1">
        <f>2.09+0.2+0.47</f>
        <v>2.76</v>
      </c>
      <c r="D14" s="1">
        <f>2.03+0.47+0.2</f>
        <v>2.7</v>
      </c>
      <c r="E14" s="1">
        <v>2.68</v>
      </c>
      <c r="F14" s="1">
        <v>2.4500000000000002</v>
      </c>
      <c r="G14" s="1">
        <v>2.66</v>
      </c>
      <c r="H14" s="1">
        <v>3.33279665594742</v>
      </c>
      <c r="I14" s="69">
        <v>3.33</v>
      </c>
    </row>
    <row r="15" spans="1:9" s="5" customFormat="1" ht="65.099999999999994" customHeight="1" x14ac:dyDescent="0.3">
      <c r="A15" s="71"/>
      <c r="B15" s="73"/>
      <c r="C15" s="74"/>
      <c r="D15" s="74"/>
      <c r="E15" s="74"/>
      <c r="F15" s="74"/>
      <c r="G15" s="74"/>
      <c r="H15" s="74"/>
      <c r="I15" s="75"/>
    </row>
    <row r="16" spans="1:9" s="5" customFormat="1" ht="30" customHeight="1" x14ac:dyDescent="0.3">
      <c r="A16" s="71" t="s">
        <v>14</v>
      </c>
      <c r="B16" s="1">
        <f>1.74+0.46+0.19</f>
        <v>2.39</v>
      </c>
      <c r="C16" s="1">
        <f>2.09+0.2+0.47</f>
        <v>2.76</v>
      </c>
      <c r="D16" s="1">
        <f>2.39+0.47+0.2</f>
        <v>3.0600000000000005</v>
      </c>
      <c r="E16" s="1">
        <v>4.2</v>
      </c>
      <c r="F16" s="1">
        <v>3.63</v>
      </c>
      <c r="G16" s="1">
        <v>2.81</v>
      </c>
      <c r="H16" s="1">
        <v>2.6526829087336026</v>
      </c>
      <c r="I16" s="69">
        <v>2.65</v>
      </c>
    </row>
    <row r="17" spans="1:9" s="5" customFormat="1" ht="65.099999999999994" customHeight="1" x14ac:dyDescent="0.3">
      <c r="A17" s="71"/>
      <c r="B17" s="73"/>
      <c r="C17" s="74"/>
      <c r="D17" s="74"/>
      <c r="E17" s="74"/>
      <c r="F17" s="74"/>
      <c r="G17" s="74"/>
      <c r="H17" s="74"/>
      <c r="I17" s="75"/>
    </row>
    <row r="18" spans="1:9" s="5" customFormat="1" ht="30" customHeight="1" x14ac:dyDescent="0.3">
      <c r="A18" s="71" t="s">
        <v>15</v>
      </c>
      <c r="B18" s="1">
        <f>1.74+0.46</f>
        <v>2.2000000000000002</v>
      </c>
      <c r="C18" s="1">
        <f>2.1+0.47</f>
        <v>2.5700000000000003</v>
      </c>
      <c r="D18" s="1">
        <f>2.4+0.47</f>
        <v>2.87</v>
      </c>
      <c r="E18" s="1">
        <v>3.38</v>
      </c>
      <c r="F18" s="1">
        <v>3.29</v>
      </c>
      <c r="G18" s="1">
        <v>2.97</v>
      </c>
      <c r="H18" s="1">
        <v>3.2772479051864893</v>
      </c>
      <c r="I18" s="69">
        <v>3.9</v>
      </c>
    </row>
    <row r="19" spans="1:9" s="5" customFormat="1" ht="65.099999999999994" customHeight="1" x14ac:dyDescent="0.3">
      <c r="A19" s="71"/>
      <c r="B19" s="73"/>
      <c r="C19" s="74"/>
      <c r="D19" s="74"/>
      <c r="E19" s="74"/>
      <c r="F19" s="74"/>
      <c r="G19" s="74"/>
      <c r="H19" s="74"/>
      <c r="I19" s="75"/>
    </row>
    <row r="20" spans="1:9" s="5" customFormat="1" ht="30" customHeight="1" x14ac:dyDescent="0.3">
      <c r="A20" s="71" t="s">
        <v>16</v>
      </c>
      <c r="B20" s="1">
        <f>1.74+0.46+0.3</f>
        <v>2.5</v>
      </c>
      <c r="C20" s="1">
        <f>1.92+0.47+0.4</f>
        <v>2.7899999999999996</v>
      </c>
      <c r="D20" s="1">
        <f>1.92+0.47+0.4</f>
        <v>2.7899999999999996</v>
      </c>
      <c r="E20" s="1">
        <v>2.1800000000000002</v>
      </c>
      <c r="F20" s="1">
        <v>2.3199999999999998</v>
      </c>
      <c r="G20" s="1">
        <v>2.86</v>
      </c>
      <c r="H20" s="1">
        <v>3.905543891695447</v>
      </c>
      <c r="I20" s="69">
        <v>3.52</v>
      </c>
    </row>
    <row r="21" spans="1:9" s="5" customFormat="1" ht="65.099999999999994" customHeight="1" x14ac:dyDescent="0.3">
      <c r="A21" s="71"/>
      <c r="B21" s="73"/>
      <c r="C21" s="74"/>
      <c r="D21" s="74"/>
      <c r="E21" s="74"/>
      <c r="F21" s="74"/>
      <c r="G21" s="74"/>
      <c r="H21" s="74"/>
      <c r="I21" s="75"/>
    </row>
    <row r="22" spans="1:9" s="5" customFormat="1" ht="30" customHeight="1" x14ac:dyDescent="0.3">
      <c r="A22" s="71" t="s">
        <v>17</v>
      </c>
      <c r="B22" s="1">
        <f>1.74+0.46+0.19</f>
        <v>2.39</v>
      </c>
      <c r="C22" s="1">
        <f>1.93+0.2+0.47</f>
        <v>2.5999999999999996</v>
      </c>
      <c r="D22" s="1">
        <f>1.79+0.47+0.2</f>
        <v>2.46</v>
      </c>
      <c r="E22" s="1">
        <v>1.72</v>
      </c>
      <c r="F22" s="1">
        <v>1.95</v>
      </c>
      <c r="G22" s="1">
        <v>2.0499999999999998</v>
      </c>
      <c r="H22" s="1">
        <v>3.1789018482990037</v>
      </c>
      <c r="I22" s="69">
        <v>3.18</v>
      </c>
    </row>
    <row r="23" spans="1:9" s="5" customFormat="1" ht="65.099999999999994" customHeight="1" x14ac:dyDescent="0.3">
      <c r="A23" s="71"/>
      <c r="B23" s="73"/>
      <c r="C23" s="74"/>
      <c r="D23" s="74"/>
      <c r="E23" s="74"/>
      <c r="F23" s="74"/>
      <c r="G23" s="74"/>
      <c r="H23" s="74"/>
      <c r="I23" s="75"/>
    </row>
    <row r="24" spans="1:9" s="5" customFormat="1" ht="30" customHeight="1" x14ac:dyDescent="0.3">
      <c r="A24" s="71" t="s">
        <v>18</v>
      </c>
      <c r="B24" s="1">
        <f>1.74+0.46+0.3</f>
        <v>2.5</v>
      </c>
      <c r="C24" s="1">
        <f>2.06+0.47+0.35</f>
        <v>2.8800000000000003</v>
      </c>
      <c r="D24" s="1">
        <f>2.02+0.47+0.35</f>
        <v>2.8400000000000003</v>
      </c>
      <c r="E24" s="1">
        <v>2.36</v>
      </c>
      <c r="F24" s="1">
        <v>2.38</v>
      </c>
      <c r="G24" s="1">
        <v>2.48</v>
      </c>
      <c r="H24" s="1">
        <v>3.8608645258632093</v>
      </c>
      <c r="I24" s="69">
        <v>3.64</v>
      </c>
    </row>
    <row r="25" spans="1:9" s="5" customFormat="1" ht="65.099999999999994" customHeight="1" x14ac:dyDescent="0.3">
      <c r="A25" s="71"/>
      <c r="B25" s="73"/>
      <c r="C25" s="74"/>
      <c r="D25" s="74"/>
      <c r="E25" s="74"/>
      <c r="F25" s="74"/>
      <c r="G25" s="74"/>
      <c r="H25" s="74"/>
      <c r="I25" s="75"/>
    </row>
    <row r="26" spans="1:9" s="5" customFormat="1" ht="30" customHeight="1" x14ac:dyDescent="0.3">
      <c r="A26" s="71" t="s">
        <v>19</v>
      </c>
      <c r="B26" s="1">
        <f>1.74+0.46+0.19+0.3</f>
        <v>2.69</v>
      </c>
      <c r="C26" s="1">
        <f>1.91+0.2+0.47+0.26</f>
        <v>2.84</v>
      </c>
      <c r="D26" s="1">
        <f>1.91+0.47+0.2+0.26</f>
        <v>2.84</v>
      </c>
      <c r="E26" s="1">
        <v>2.69</v>
      </c>
      <c r="F26" s="1">
        <v>2.59</v>
      </c>
      <c r="G26" s="1">
        <v>2.69</v>
      </c>
      <c r="H26" s="1">
        <v>3.563464555527847</v>
      </c>
      <c r="I26" s="69">
        <v>3.14</v>
      </c>
    </row>
    <row r="27" spans="1:9" s="5" customFormat="1" ht="65.099999999999994" customHeight="1" x14ac:dyDescent="0.3">
      <c r="A27" s="71"/>
      <c r="B27" s="73"/>
      <c r="C27" s="74"/>
      <c r="D27" s="74"/>
      <c r="E27" s="74"/>
      <c r="F27" s="74"/>
      <c r="G27" s="74"/>
      <c r="H27" s="74"/>
      <c r="I27" s="75"/>
    </row>
    <row r="28" spans="1:9" s="5" customFormat="1" ht="30" customHeight="1" x14ac:dyDescent="0.3">
      <c r="A28" s="71" t="s">
        <v>20</v>
      </c>
      <c r="B28" s="1">
        <f>1.74+0.46+0.19+0.3</f>
        <v>2.69</v>
      </c>
      <c r="C28" s="1">
        <f>1.79+0.2+0.47+0.28</f>
        <v>2.74</v>
      </c>
      <c r="D28" s="1">
        <f>1.79+0.47+0.2+0.28</f>
        <v>2.74</v>
      </c>
      <c r="E28" s="1">
        <v>2.46</v>
      </c>
      <c r="F28" s="1">
        <v>2.1800000000000002</v>
      </c>
      <c r="G28" s="1">
        <v>2.4</v>
      </c>
      <c r="H28" s="1">
        <v>3.0962533988624581</v>
      </c>
      <c r="I28" s="69">
        <v>3.1</v>
      </c>
    </row>
    <row r="29" spans="1:9" s="5" customFormat="1" ht="65.099999999999994" customHeight="1" x14ac:dyDescent="0.3">
      <c r="A29" s="71"/>
      <c r="B29" s="73"/>
      <c r="C29" s="74"/>
      <c r="D29" s="74"/>
      <c r="E29" s="74"/>
      <c r="F29" s="74"/>
      <c r="G29" s="74"/>
      <c r="H29" s="74"/>
      <c r="I29" s="75"/>
    </row>
    <row r="30" spans="1:9" s="5" customFormat="1" ht="30" customHeight="1" x14ac:dyDescent="0.3">
      <c r="A30" s="71" t="s">
        <v>21</v>
      </c>
      <c r="B30" s="1">
        <f>1.74+0.46+0.19</f>
        <v>2.39</v>
      </c>
      <c r="C30" s="1">
        <f>2.08+0.2+0.47</f>
        <v>2.75</v>
      </c>
      <c r="D30" s="1">
        <f>2.11+0.47+0.2</f>
        <v>2.7800000000000002</v>
      </c>
      <c r="E30" s="1">
        <v>2.5499999999999998</v>
      </c>
      <c r="F30" s="1">
        <v>2.4900000000000002</v>
      </c>
      <c r="G30" s="1">
        <v>2.38</v>
      </c>
      <c r="H30" s="1">
        <v>3.1293925441248245</v>
      </c>
      <c r="I30" s="69">
        <v>3.13</v>
      </c>
    </row>
    <row r="31" spans="1:9" s="5" customFormat="1" ht="65.099999999999994" customHeight="1" x14ac:dyDescent="0.3">
      <c r="A31" s="71"/>
      <c r="B31" s="73"/>
      <c r="C31" s="74"/>
      <c r="D31" s="74"/>
      <c r="E31" s="74"/>
      <c r="F31" s="74"/>
      <c r="G31" s="74"/>
      <c r="H31" s="74"/>
      <c r="I31" s="75"/>
    </row>
    <row r="32" spans="1:9" s="5" customFormat="1" ht="30" customHeight="1" x14ac:dyDescent="0.3">
      <c r="A32" s="71" t="s">
        <v>22</v>
      </c>
      <c r="B32" s="1">
        <f>1.74+0.46+0.19+0.3</f>
        <v>2.69</v>
      </c>
      <c r="C32" s="1">
        <f>1.81+0.2+0.47+0.16</f>
        <v>2.6400000000000006</v>
      </c>
      <c r="D32" s="1">
        <f>1.82+0.47+0.2+0.16</f>
        <v>2.6500000000000004</v>
      </c>
      <c r="E32" s="1">
        <v>2.21</v>
      </c>
      <c r="F32" s="1">
        <v>2.11</v>
      </c>
      <c r="G32" s="1">
        <v>2.52</v>
      </c>
      <c r="H32" s="1">
        <v>3.5668737105055981</v>
      </c>
      <c r="I32" s="69">
        <v>3.34</v>
      </c>
    </row>
    <row r="33" spans="1:9" s="5" customFormat="1" ht="65.099999999999994" customHeight="1" x14ac:dyDescent="0.3">
      <c r="A33" s="71"/>
      <c r="B33" s="73"/>
      <c r="C33" s="74"/>
      <c r="D33" s="74"/>
      <c r="E33" s="74"/>
      <c r="F33" s="74"/>
      <c r="G33" s="74"/>
      <c r="H33" s="74"/>
      <c r="I33" s="75"/>
    </row>
    <row r="34" spans="1:9" s="5" customFormat="1" ht="30" customHeight="1" x14ac:dyDescent="0.3">
      <c r="A34" s="71" t="s">
        <v>23</v>
      </c>
      <c r="B34" s="1">
        <f>1.74+0.46+0.19</f>
        <v>2.39</v>
      </c>
      <c r="C34" s="1">
        <f>1.93+0.2+0.47</f>
        <v>2.5999999999999996</v>
      </c>
      <c r="D34" s="1">
        <f>1.8+0.47+0.2</f>
        <v>2.4700000000000002</v>
      </c>
      <c r="E34" s="1">
        <v>1.62</v>
      </c>
      <c r="F34" s="1">
        <v>1.85</v>
      </c>
      <c r="G34" s="1">
        <v>2.41</v>
      </c>
      <c r="H34" s="1">
        <v>3.3626515961893499</v>
      </c>
      <c r="I34" s="69">
        <v>3.01</v>
      </c>
    </row>
    <row r="35" spans="1:9" s="5" customFormat="1" ht="65.099999999999994" customHeight="1" x14ac:dyDescent="0.3">
      <c r="A35" s="71"/>
      <c r="B35" s="73"/>
      <c r="C35" s="74"/>
      <c r="D35" s="74"/>
      <c r="E35" s="74"/>
      <c r="F35" s="74"/>
      <c r="G35" s="74"/>
      <c r="H35" s="74"/>
      <c r="I35" s="75"/>
    </row>
    <row r="36" spans="1:9" s="5" customFormat="1" ht="30" customHeight="1" x14ac:dyDescent="0.3">
      <c r="A36" s="71" t="s">
        <v>24</v>
      </c>
      <c r="B36" s="1">
        <f>1.74+0.46+0.19</f>
        <v>2.39</v>
      </c>
      <c r="C36" s="1">
        <f>2.08+0.2+0.47</f>
        <v>2.75</v>
      </c>
      <c r="D36" s="1">
        <f>2.43+0.42+0.2</f>
        <v>3.0500000000000003</v>
      </c>
      <c r="E36" s="1">
        <v>3.05</v>
      </c>
      <c r="F36" s="1">
        <v>4.8499999999999996</v>
      </c>
      <c r="G36" s="1">
        <v>6.08</v>
      </c>
      <c r="H36" s="1">
        <v>5.4387269791352777</v>
      </c>
      <c r="I36" s="69">
        <v>5.44</v>
      </c>
    </row>
    <row r="37" spans="1:9" s="5" customFormat="1" ht="65.099999999999994" customHeight="1" x14ac:dyDescent="0.3">
      <c r="A37" s="71"/>
      <c r="B37" s="73"/>
      <c r="C37" s="74"/>
      <c r="D37" s="74"/>
      <c r="E37" s="74"/>
      <c r="F37" s="74"/>
      <c r="G37" s="74"/>
      <c r="H37" s="74"/>
      <c r="I37" s="75"/>
    </row>
    <row r="38" spans="1:9" s="5" customFormat="1" ht="30" customHeight="1" x14ac:dyDescent="0.3">
      <c r="A38" s="71" t="s">
        <v>25</v>
      </c>
      <c r="B38" s="1">
        <f>1.74+0.46+0.19</f>
        <v>2.39</v>
      </c>
      <c r="C38" s="1">
        <f>2.08+0.2+0.47</f>
        <v>2.75</v>
      </c>
      <c r="D38" s="1">
        <f>2.3+0.47+0.2</f>
        <v>2.9699999999999998</v>
      </c>
      <c r="E38" s="1">
        <v>2.79</v>
      </c>
      <c r="F38" s="1">
        <v>2.4900000000000002</v>
      </c>
      <c r="G38" s="1">
        <v>2.4300000000000002</v>
      </c>
      <c r="H38" s="1">
        <v>3.8196712717709698</v>
      </c>
      <c r="I38" s="69">
        <v>3.82</v>
      </c>
    </row>
    <row r="39" spans="1:9" s="5" customFormat="1" ht="65.099999999999994" customHeight="1" x14ac:dyDescent="0.3">
      <c r="A39" s="71"/>
      <c r="B39" s="73"/>
      <c r="C39" s="74"/>
      <c r="D39" s="74"/>
      <c r="E39" s="74"/>
      <c r="F39" s="74"/>
      <c r="G39" s="74"/>
      <c r="H39" s="74"/>
      <c r="I39" s="75"/>
    </row>
    <row r="40" spans="1:9" s="5" customFormat="1" ht="30" customHeight="1" x14ac:dyDescent="0.3">
      <c r="A40" s="71" t="s">
        <v>26</v>
      </c>
      <c r="B40" s="1">
        <f>1.74+0.46</f>
        <v>2.2000000000000002</v>
      </c>
      <c r="C40" s="1">
        <f>1.53+0.47</f>
        <v>2</v>
      </c>
      <c r="D40" s="1">
        <f>1.43+0.47</f>
        <v>1.9</v>
      </c>
      <c r="E40" s="1">
        <v>1.44</v>
      </c>
      <c r="F40" s="1">
        <v>1.6</v>
      </c>
      <c r="G40" s="1">
        <v>1.63</v>
      </c>
      <c r="H40" s="1">
        <v>3.0736831287678794</v>
      </c>
      <c r="I40" s="69">
        <v>2.6</v>
      </c>
    </row>
    <row r="41" spans="1:9" s="5" customFormat="1" ht="65.099999999999994" customHeight="1" x14ac:dyDescent="0.3">
      <c r="A41" s="71"/>
      <c r="B41" s="73"/>
      <c r="C41" s="74"/>
      <c r="D41" s="74"/>
      <c r="E41" s="74"/>
      <c r="F41" s="74"/>
      <c r="G41" s="74"/>
      <c r="H41" s="74"/>
      <c r="I41" s="75"/>
    </row>
    <row r="42" spans="1:9" s="5" customFormat="1" ht="30" customHeight="1" x14ac:dyDescent="0.3">
      <c r="A42" s="72" t="s">
        <v>27</v>
      </c>
      <c r="B42" s="1">
        <f>1.74+0.46+0.19</f>
        <v>2.39</v>
      </c>
      <c r="C42" s="1">
        <f>2.09+0.2+0.47</f>
        <v>2.76</v>
      </c>
      <c r="D42" s="1">
        <f>2.13+0.47+0.2</f>
        <v>2.8</v>
      </c>
      <c r="E42" s="1">
        <v>2.2400000000000002</v>
      </c>
      <c r="F42" s="1">
        <v>2.44</v>
      </c>
      <c r="G42" s="1">
        <v>2.64</v>
      </c>
      <c r="H42" s="1">
        <v>3.738927853295329</v>
      </c>
      <c r="I42" s="69">
        <v>3.5</v>
      </c>
    </row>
    <row r="43" spans="1:9" s="5" customFormat="1" ht="65.099999999999994" customHeight="1" x14ac:dyDescent="0.3">
      <c r="A43" s="72"/>
      <c r="B43" s="73"/>
      <c r="C43" s="74"/>
      <c r="D43" s="74"/>
      <c r="E43" s="74"/>
      <c r="F43" s="74"/>
      <c r="G43" s="74"/>
      <c r="H43" s="74"/>
      <c r="I43" s="75"/>
    </row>
    <row r="44" spans="1:9" s="5" customFormat="1" ht="30" customHeight="1" x14ac:dyDescent="0.3">
      <c r="A44" s="71" t="s">
        <v>28</v>
      </c>
      <c r="B44" s="1">
        <f>1.74+0.46+0.19+0.3</f>
        <v>2.69</v>
      </c>
      <c r="C44" s="1">
        <f>2.08+0.2+0.47+0.29</f>
        <v>3.04</v>
      </c>
      <c r="D44" s="1">
        <f>2.36+0.47+0.2+0.29</f>
        <v>3.3200000000000003</v>
      </c>
      <c r="E44" s="1">
        <v>3.27</v>
      </c>
      <c r="F44" s="1">
        <v>3.26</v>
      </c>
      <c r="G44" s="1">
        <v>2.94</v>
      </c>
      <c r="H44" s="1">
        <v>3.9482404823420514</v>
      </c>
      <c r="I44" s="69">
        <v>3.95</v>
      </c>
    </row>
    <row r="45" spans="1:9" s="5" customFormat="1" ht="65.099999999999994" customHeight="1" x14ac:dyDescent="0.3">
      <c r="A45" s="71"/>
      <c r="B45" s="73"/>
      <c r="C45" s="74"/>
      <c r="D45" s="74"/>
      <c r="E45" s="74"/>
      <c r="F45" s="74"/>
      <c r="G45" s="74"/>
      <c r="H45" s="74"/>
      <c r="I45" s="75"/>
    </row>
    <row r="46" spans="1:9" s="5" customFormat="1" ht="30" customHeight="1" x14ac:dyDescent="0.3">
      <c r="A46" s="71" t="s">
        <v>29</v>
      </c>
      <c r="B46" s="1">
        <f>1.74+0.46+0.19+0.3</f>
        <v>2.69</v>
      </c>
      <c r="C46" s="1">
        <f>2.07+0.2+0.47+0.27</f>
        <v>3.0100000000000002</v>
      </c>
      <c r="D46" s="1">
        <f>1.96+0.47+0.2+0.27</f>
        <v>2.9</v>
      </c>
      <c r="E46" s="1">
        <v>2.85</v>
      </c>
      <c r="F46" s="1">
        <v>2.62</v>
      </c>
      <c r="G46" s="1">
        <v>2.83</v>
      </c>
      <c r="H46" s="1">
        <v>3.6521424432283656</v>
      </c>
      <c r="I46" s="69">
        <v>3.21</v>
      </c>
    </row>
    <row r="47" spans="1:9" s="5" customFormat="1" ht="65.099999999999994" customHeight="1" x14ac:dyDescent="0.3">
      <c r="A47" s="71"/>
      <c r="B47" s="73"/>
      <c r="C47" s="74"/>
      <c r="D47" s="74"/>
      <c r="E47" s="74"/>
      <c r="F47" s="74"/>
      <c r="G47" s="74"/>
      <c r="H47" s="74"/>
      <c r="I47" s="75"/>
    </row>
    <row r="48" spans="1:9" s="5" customFormat="1" ht="30" customHeight="1" x14ac:dyDescent="0.3">
      <c r="A48" s="71" t="s">
        <v>30</v>
      </c>
      <c r="B48" s="1">
        <f>1.68+0.46+0.19+0.3</f>
        <v>2.63</v>
      </c>
      <c r="C48" s="1">
        <f>2.02+0.2+0.47+0.29</f>
        <v>2.9800000000000004</v>
      </c>
      <c r="D48" s="1">
        <f>2.11+0.47+0.2+0.29</f>
        <v>3.0700000000000003</v>
      </c>
      <c r="E48" s="1">
        <v>3.02</v>
      </c>
      <c r="F48" s="1">
        <v>2.71</v>
      </c>
      <c r="G48" s="1">
        <v>2.98</v>
      </c>
      <c r="H48" s="1">
        <v>4.0119855960926687</v>
      </c>
      <c r="I48" s="69">
        <v>4.01</v>
      </c>
    </row>
    <row r="49" spans="1:9" s="5" customFormat="1" ht="65.099999999999994" customHeight="1" x14ac:dyDescent="0.3">
      <c r="A49" s="71"/>
      <c r="B49" s="73"/>
      <c r="C49" s="74"/>
      <c r="D49" s="74"/>
      <c r="E49" s="74"/>
      <c r="F49" s="74"/>
      <c r="G49" s="74"/>
      <c r="H49" s="74"/>
      <c r="I49" s="75"/>
    </row>
    <row r="50" spans="1:9" s="5" customFormat="1" ht="30" customHeight="1" x14ac:dyDescent="0.3">
      <c r="A50" s="71" t="s">
        <v>31</v>
      </c>
      <c r="B50" s="1">
        <f>1.74+0.46+0.19</f>
        <v>2.39</v>
      </c>
      <c r="C50" s="1">
        <f>2.06+0.2+0.47</f>
        <v>2.7300000000000004</v>
      </c>
      <c r="D50" s="1">
        <f>1.9+0.47+0.2</f>
        <v>2.5700000000000003</v>
      </c>
      <c r="E50" s="1">
        <v>2.33</v>
      </c>
      <c r="F50" s="1">
        <v>2.36</v>
      </c>
      <c r="G50" s="1">
        <v>2.58</v>
      </c>
      <c r="H50" s="1">
        <v>2.7814497697404925</v>
      </c>
      <c r="I50" s="69">
        <v>2.78</v>
      </c>
    </row>
    <row r="51" spans="1:9" s="5" customFormat="1" ht="65.099999999999994" customHeight="1" x14ac:dyDescent="0.3">
      <c r="A51" s="71"/>
      <c r="B51" s="73"/>
      <c r="C51" s="74"/>
      <c r="D51" s="74"/>
      <c r="E51" s="74"/>
      <c r="F51" s="74"/>
      <c r="G51" s="74"/>
      <c r="H51" s="74"/>
      <c r="I51" s="75"/>
    </row>
    <row r="52" spans="1:9" s="5" customFormat="1" ht="30" customHeight="1" x14ac:dyDescent="0.3">
      <c r="A52" s="71" t="s">
        <v>32</v>
      </c>
      <c r="B52" s="1">
        <f>1.68+0.46+0.19</f>
        <v>2.33</v>
      </c>
      <c r="C52" s="1">
        <f>1.95+0.2+0.47</f>
        <v>2.62</v>
      </c>
      <c r="D52" s="1">
        <f>1.95+0.47+0.2</f>
        <v>2.62</v>
      </c>
      <c r="E52" s="1">
        <v>2.0699999999999998</v>
      </c>
      <c r="F52" s="1">
        <v>2.0099999999999998</v>
      </c>
      <c r="G52" s="1">
        <v>2.11</v>
      </c>
      <c r="H52" s="1">
        <v>2.7376784167725154</v>
      </c>
      <c r="I52" s="69">
        <v>2.74</v>
      </c>
    </row>
    <row r="53" spans="1:9" s="5" customFormat="1" ht="65.099999999999994" customHeight="1" x14ac:dyDescent="0.3">
      <c r="A53" s="71"/>
      <c r="B53" s="73"/>
      <c r="C53" s="74"/>
      <c r="D53" s="74"/>
      <c r="E53" s="74"/>
      <c r="F53" s="74"/>
      <c r="G53" s="74"/>
      <c r="H53" s="74"/>
      <c r="I53" s="75"/>
    </row>
    <row r="54" spans="1:9" s="5" customFormat="1" ht="30" customHeight="1" x14ac:dyDescent="0.3">
      <c r="A54" s="71" t="s">
        <v>33</v>
      </c>
      <c r="B54" s="1">
        <f>1.74+0.46+0.3</f>
        <v>2.5</v>
      </c>
      <c r="C54" s="1">
        <f>1.99+0.47+0.24</f>
        <v>2.7</v>
      </c>
      <c r="D54" s="1">
        <f>2.07+0.47+0.24</f>
        <v>2.7800000000000002</v>
      </c>
      <c r="E54" s="1">
        <v>2.14</v>
      </c>
      <c r="F54" s="1">
        <v>2.2000000000000002</v>
      </c>
      <c r="G54" s="1">
        <v>2.72</v>
      </c>
      <c r="H54" s="1">
        <v>3.4504852998583946</v>
      </c>
      <c r="I54" s="69">
        <v>2.9</v>
      </c>
    </row>
    <row r="55" spans="1:9" s="5" customFormat="1" ht="65.099999999999994" customHeight="1" x14ac:dyDescent="0.3">
      <c r="A55" s="71"/>
      <c r="B55" s="73"/>
      <c r="C55" s="74"/>
      <c r="D55" s="74"/>
      <c r="E55" s="74"/>
      <c r="F55" s="74"/>
      <c r="G55" s="74"/>
      <c r="H55" s="74"/>
      <c r="I55" s="75"/>
    </row>
    <row r="56" spans="1:9" s="5" customFormat="1" ht="30" customHeight="1" x14ac:dyDescent="0.3">
      <c r="A56" s="71" t="s">
        <v>34</v>
      </c>
      <c r="B56" s="1">
        <f>1.74+0.46+0.19+0.3</f>
        <v>2.69</v>
      </c>
      <c r="C56" s="1">
        <f>2.09+0.2+0.47+0.39</f>
        <v>3.15</v>
      </c>
      <c r="D56" s="1">
        <f>2.01+0.47+0.2+0.39</f>
        <v>3.07</v>
      </c>
      <c r="E56" s="1">
        <v>2.82</v>
      </c>
      <c r="F56" s="1">
        <v>2.67</v>
      </c>
      <c r="G56" s="1">
        <v>2.67</v>
      </c>
      <c r="H56" s="1">
        <v>3.5270378512905385</v>
      </c>
      <c r="I56" s="69">
        <v>3.53</v>
      </c>
    </row>
    <row r="57" spans="1:9" s="5" customFormat="1" ht="65.099999999999994" customHeight="1" x14ac:dyDescent="0.3">
      <c r="A57" s="71"/>
      <c r="B57" s="73"/>
      <c r="C57" s="74"/>
      <c r="D57" s="74"/>
      <c r="E57" s="74"/>
      <c r="F57" s="74"/>
      <c r="G57" s="74"/>
      <c r="H57" s="74"/>
      <c r="I57" s="75"/>
    </row>
    <row r="58" spans="1:9" s="5" customFormat="1" ht="30" customHeight="1" x14ac:dyDescent="0.3">
      <c r="A58" s="71" t="s">
        <v>35</v>
      </c>
      <c r="B58" s="1">
        <f>1.74+0.46+0.3</f>
        <v>2.5</v>
      </c>
      <c r="C58" s="1">
        <f>2.02+0.2+0.47+0.37</f>
        <v>3.0600000000000005</v>
      </c>
      <c r="D58" s="1">
        <f>1.88+0.42+0.2+0.37</f>
        <v>2.87</v>
      </c>
      <c r="E58" s="1">
        <v>2.0699999999999998</v>
      </c>
      <c r="F58" s="1">
        <v>2.38</v>
      </c>
      <c r="G58" s="1">
        <v>2.79</v>
      </c>
      <c r="H58" s="1">
        <v>4.0383399715624773</v>
      </c>
      <c r="I58" s="69">
        <v>4.04</v>
      </c>
    </row>
    <row r="59" spans="1:9" s="5" customFormat="1" ht="65.099999999999994" customHeight="1" x14ac:dyDescent="0.3">
      <c r="A59" s="71"/>
      <c r="B59" s="73"/>
      <c r="C59" s="74"/>
      <c r="D59" s="74"/>
      <c r="E59" s="74"/>
      <c r="F59" s="74"/>
      <c r="G59" s="74"/>
      <c r="H59" s="74"/>
      <c r="I59" s="75"/>
    </row>
    <row r="60" spans="1:9" s="5" customFormat="1" ht="30" customHeight="1" x14ac:dyDescent="0.3">
      <c r="A60" s="71" t="s">
        <v>36</v>
      </c>
      <c r="B60" s="1">
        <f>1.74+0.46+0.3</f>
        <v>2.5</v>
      </c>
      <c r="C60" s="1">
        <f>1.95+0.2+0.47+0.37</f>
        <v>2.99</v>
      </c>
      <c r="D60" s="1">
        <f>1.95+0.47+0.2+0.37</f>
        <v>2.99</v>
      </c>
      <c r="E60" s="1">
        <v>2.2799999999999998</v>
      </c>
      <c r="F60" s="1">
        <v>2.4700000000000002</v>
      </c>
      <c r="G60" s="1">
        <v>2.93</v>
      </c>
      <c r="H60" s="1">
        <v>3.9372205888994891</v>
      </c>
      <c r="I60" s="69">
        <v>3.94</v>
      </c>
    </row>
    <row r="61" spans="1:9" s="5" customFormat="1" ht="65.099999999999994" customHeight="1" x14ac:dyDescent="0.3">
      <c r="A61" s="71"/>
      <c r="B61" s="73"/>
      <c r="C61" s="74"/>
      <c r="D61" s="74"/>
      <c r="E61" s="74"/>
      <c r="F61" s="74"/>
      <c r="G61" s="74"/>
      <c r="H61" s="74"/>
      <c r="I61" s="75"/>
    </row>
    <row r="62" spans="1:9" s="5" customFormat="1" ht="30" customHeight="1" x14ac:dyDescent="0.3">
      <c r="A62" s="71" t="s">
        <v>37</v>
      </c>
      <c r="B62" s="1">
        <f>1.74+0.46+0.3</f>
        <v>2.5</v>
      </c>
      <c r="C62" s="1">
        <f>2.04+0.47+0.37</f>
        <v>2.88</v>
      </c>
      <c r="D62" s="1">
        <f>2.08+0.47+0.37</f>
        <v>2.92</v>
      </c>
      <c r="E62" s="1">
        <v>2.82</v>
      </c>
      <c r="F62" s="1">
        <v>2.82</v>
      </c>
      <c r="G62" s="1">
        <v>2.91</v>
      </c>
      <c r="H62" s="1">
        <v>4.0933961824805865</v>
      </c>
      <c r="I62" s="69">
        <v>3.77</v>
      </c>
    </row>
    <row r="63" spans="1:9" s="5" customFormat="1" ht="65.099999999999994" customHeight="1" x14ac:dyDescent="0.3">
      <c r="A63" s="71"/>
      <c r="B63" s="73"/>
      <c r="C63" s="74"/>
      <c r="D63" s="74"/>
      <c r="E63" s="74"/>
      <c r="F63" s="74"/>
      <c r="G63" s="74"/>
      <c r="H63" s="74"/>
      <c r="I63" s="75"/>
    </row>
    <row r="64" spans="1:9" s="5" customFormat="1" ht="30" customHeight="1" x14ac:dyDescent="0.3">
      <c r="A64" s="71" t="s">
        <v>38</v>
      </c>
      <c r="B64" s="1">
        <f>1.74+0.46</f>
        <v>2.2000000000000002</v>
      </c>
      <c r="C64" s="1">
        <f>1.95+0.47</f>
        <v>2.42</v>
      </c>
      <c r="D64" s="1">
        <f>1.95+0.47</f>
        <v>2.42</v>
      </c>
      <c r="E64" s="1">
        <v>1.63</v>
      </c>
      <c r="F64" s="1">
        <v>1.71</v>
      </c>
      <c r="G64" s="1">
        <v>1.8</v>
      </c>
      <c r="H64" s="1">
        <v>2.7411676268448257</v>
      </c>
      <c r="I64" s="69">
        <v>2.74</v>
      </c>
    </row>
    <row r="65" spans="1:9" s="5" customFormat="1" ht="65.099999999999994" customHeight="1" x14ac:dyDescent="0.3">
      <c r="A65" s="71"/>
      <c r="B65" s="73"/>
      <c r="C65" s="74"/>
      <c r="D65" s="74"/>
      <c r="E65" s="74"/>
      <c r="F65" s="74"/>
      <c r="G65" s="74"/>
      <c r="H65" s="74"/>
      <c r="I65" s="75"/>
    </row>
    <row r="66" spans="1:9" s="5" customFormat="1" ht="30" customHeight="1" x14ac:dyDescent="0.3">
      <c r="A66" s="71" t="s">
        <v>39</v>
      </c>
      <c r="B66" s="1">
        <f>1.74+0.46+0.19+0.3</f>
        <v>2.69</v>
      </c>
      <c r="C66" s="1">
        <f>1.92+0.2+0.47+0.21</f>
        <v>2.8</v>
      </c>
      <c r="D66" s="1">
        <f>1.92+0.47+0.2+0.21</f>
        <v>2.8</v>
      </c>
      <c r="E66" s="1">
        <v>2.2000000000000002</v>
      </c>
      <c r="F66" s="1">
        <v>2.12</v>
      </c>
      <c r="G66" s="1">
        <v>2.1800000000000002</v>
      </c>
      <c r="H66" s="1">
        <v>3.1845358415117877</v>
      </c>
      <c r="I66" s="69">
        <v>2.71</v>
      </c>
    </row>
    <row r="67" spans="1:9" s="5" customFormat="1" ht="65.099999999999994" customHeight="1" x14ac:dyDescent="0.3">
      <c r="A67" s="71"/>
      <c r="B67" s="73"/>
      <c r="C67" s="74"/>
      <c r="D67" s="74"/>
      <c r="E67" s="74"/>
      <c r="F67" s="74"/>
      <c r="G67" s="74"/>
      <c r="H67" s="74"/>
      <c r="I67" s="75"/>
    </row>
    <row r="68" spans="1:9" s="5" customFormat="1" ht="30" customHeight="1" x14ac:dyDescent="0.3">
      <c r="A68" s="71" t="s">
        <v>40</v>
      </c>
      <c r="B68" s="1">
        <f>1.74+0.46+0.19+0.3</f>
        <v>2.69</v>
      </c>
      <c r="C68" s="1">
        <f>1.97+0.2+0.47+0.21</f>
        <v>2.8499999999999996</v>
      </c>
      <c r="D68" s="1">
        <f>1.97+0.47+0.2+0.21</f>
        <v>2.85</v>
      </c>
      <c r="E68" s="1">
        <v>2.2799999999999998</v>
      </c>
      <c r="F68" s="1">
        <v>2.29</v>
      </c>
      <c r="G68" s="1">
        <v>2.4300000000000002</v>
      </c>
      <c r="H68" s="1">
        <v>3.2154737358859076</v>
      </c>
      <c r="I68" s="69">
        <v>2.84</v>
      </c>
    </row>
    <row r="69" spans="1:9" s="5" customFormat="1" ht="65.099999999999994" customHeight="1" x14ac:dyDescent="0.3">
      <c r="A69" s="71"/>
      <c r="B69" s="73"/>
      <c r="C69" s="74"/>
      <c r="D69" s="74"/>
      <c r="E69" s="74"/>
      <c r="F69" s="74"/>
      <c r="G69" s="74"/>
      <c r="H69" s="74"/>
      <c r="I69" s="75"/>
    </row>
    <row r="70" spans="1:9" s="5" customFormat="1" ht="30" customHeight="1" x14ac:dyDescent="0.3">
      <c r="A70" s="71" t="s">
        <v>41</v>
      </c>
      <c r="B70" s="1">
        <f>1.74+0.46+0.19+0.3</f>
        <v>2.69</v>
      </c>
      <c r="C70" s="1">
        <f>1.39+0.2+0.47+0.2</f>
        <v>2.2599999999999998</v>
      </c>
      <c r="D70" s="1">
        <f>1.67+0.47+0.2+0.2</f>
        <v>2.54</v>
      </c>
      <c r="E70" s="1">
        <v>1.93</v>
      </c>
      <c r="F70" s="1">
        <v>1.79</v>
      </c>
      <c r="G70" s="1">
        <v>2.09</v>
      </c>
      <c r="H70" s="1">
        <v>3.2012886104976075</v>
      </c>
      <c r="I70" s="69">
        <v>2.72</v>
      </c>
    </row>
    <row r="71" spans="1:9" s="5" customFormat="1" ht="65.099999999999994" customHeight="1" x14ac:dyDescent="0.3">
      <c r="A71" s="71"/>
      <c r="B71" s="73"/>
      <c r="C71" s="74"/>
      <c r="D71" s="74"/>
      <c r="E71" s="74"/>
      <c r="F71" s="74"/>
      <c r="G71" s="74"/>
      <c r="H71" s="74"/>
      <c r="I71" s="75"/>
    </row>
    <row r="72" spans="1:9" s="5" customFormat="1" ht="30" customHeight="1" x14ac:dyDescent="0.3">
      <c r="A72" s="71" t="s">
        <v>42</v>
      </c>
      <c r="B72" s="1">
        <f>1.74+0.46+0.19</f>
        <v>2.39</v>
      </c>
      <c r="C72" s="1">
        <f>2.03+0.2+0.47</f>
        <v>2.7</v>
      </c>
      <c r="D72" s="1">
        <f>2.06+0.47+0.2</f>
        <v>2.7300000000000004</v>
      </c>
      <c r="E72" s="1">
        <v>2.72</v>
      </c>
      <c r="F72" s="1">
        <v>2.58</v>
      </c>
      <c r="G72" s="1">
        <v>2.39</v>
      </c>
      <c r="H72" s="1">
        <v>2.8647283537867492</v>
      </c>
      <c r="I72" s="69">
        <v>2.86</v>
      </c>
    </row>
    <row r="73" spans="1:9" s="5" customFormat="1" ht="65.099999999999994" customHeight="1" x14ac:dyDescent="0.3">
      <c r="A73" s="71"/>
      <c r="B73" s="73"/>
      <c r="C73" s="74"/>
      <c r="D73" s="74"/>
      <c r="E73" s="74"/>
      <c r="F73" s="74"/>
      <c r="G73" s="74"/>
      <c r="H73" s="74"/>
      <c r="I73" s="75"/>
    </row>
    <row r="74" spans="1:9" s="5" customFormat="1" ht="30" customHeight="1" x14ac:dyDescent="0.3">
      <c r="A74" s="71" t="s">
        <v>43</v>
      </c>
      <c r="B74" s="1">
        <f>1.74+0.46+0.19</f>
        <v>2.39</v>
      </c>
      <c r="C74" s="1">
        <f>2.09+0.2+0.47</f>
        <v>2.76</v>
      </c>
      <c r="D74" s="1">
        <f>2.04+0.42+0.2</f>
        <v>2.66</v>
      </c>
      <c r="E74" s="1">
        <v>2.4300000000000002</v>
      </c>
      <c r="F74" s="1">
        <v>2.5099999999999998</v>
      </c>
      <c r="G74" s="1">
        <v>2.4</v>
      </c>
      <c r="H74" s="1">
        <v>3.0686658843566201</v>
      </c>
      <c r="I74" s="69">
        <v>3.07</v>
      </c>
    </row>
    <row r="75" spans="1:9" s="5" customFormat="1" ht="65.099999999999994" customHeight="1" x14ac:dyDescent="0.3">
      <c r="A75" s="71"/>
      <c r="B75" s="73"/>
      <c r="C75" s="74"/>
      <c r="D75" s="74"/>
      <c r="E75" s="74"/>
      <c r="F75" s="74"/>
      <c r="G75" s="74"/>
      <c r="H75" s="74"/>
      <c r="I75" s="75"/>
    </row>
    <row r="76" spans="1:9" s="5" customFormat="1" ht="30" customHeight="1" x14ac:dyDescent="0.3">
      <c r="A76" s="71" t="s">
        <v>44</v>
      </c>
      <c r="B76" s="1">
        <f>1.74+0.46+0.19+0.3</f>
        <v>2.69</v>
      </c>
      <c r="C76" s="1">
        <f>2.06+0.2+0.47+0.21</f>
        <v>2.9400000000000004</v>
      </c>
      <c r="D76" s="1">
        <f>2.06+0.47+0.2+0.21</f>
        <v>2.9400000000000004</v>
      </c>
      <c r="E76" s="1">
        <v>2.2599999999999998</v>
      </c>
      <c r="F76" s="1">
        <v>2.4300000000000002</v>
      </c>
      <c r="G76" s="1">
        <v>2.27</v>
      </c>
      <c r="H76" s="1">
        <v>3.3017946203103148</v>
      </c>
      <c r="I76" s="69">
        <v>3.11</v>
      </c>
    </row>
    <row r="77" spans="1:9" s="5" customFormat="1" ht="65.099999999999994" customHeight="1" x14ac:dyDescent="0.3">
      <c r="A77" s="71"/>
      <c r="B77" s="73"/>
      <c r="C77" s="74"/>
      <c r="D77" s="74"/>
      <c r="E77" s="74"/>
      <c r="F77" s="74"/>
      <c r="G77" s="74"/>
      <c r="H77" s="74"/>
      <c r="I77" s="75"/>
    </row>
    <row r="78" spans="1:9" s="5" customFormat="1" ht="30" customHeight="1" x14ac:dyDescent="0.3">
      <c r="A78" s="71" t="s">
        <v>45</v>
      </c>
      <c r="B78" s="1">
        <f>1.74+0.46+0.19+0.3</f>
        <v>2.69</v>
      </c>
      <c r="C78" s="1">
        <f>2.04+0.2+0.47+0.28</f>
        <v>2.99</v>
      </c>
      <c r="D78" s="1">
        <f>1.96+0.47+0.2+0.28</f>
        <v>2.91</v>
      </c>
      <c r="E78" s="1">
        <v>2.34</v>
      </c>
      <c r="F78" s="1">
        <v>2.34</v>
      </c>
      <c r="G78" s="1">
        <v>2.54</v>
      </c>
      <c r="H78" s="1">
        <v>3.3434928748332853</v>
      </c>
      <c r="I78" s="69">
        <v>2.74</v>
      </c>
    </row>
    <row r="79" spans="1:9" s="5" customFormat="1" ht="65.099999999999994" customHeight="1" x14ac:dyDescent="0.3">
      <c r="A79" s="71"/>
      <c r="B79" s="73"/>
      <c r="C79" s="74"/>
      <c r="D79" s="74"/>
      <c r="E79" s="74"/>
      <c r="F79" s="74"/>
      <c r="G79" s="74"/>
      <c r="H79" s="74"/>
      <c r="I79" s="75"/>
    </row>
    <row r="80" spans="1:9" s="5" customFormat="1" ht="30" customHeight="1" x14ac:dyDescent="0.3">
      <c r="A80" s="71" t="s">
        <v>46</v>
      </c>
      <c r="B80" s="1">
        <f>1.74+0.46</f>
        <v>2.2000000000000002</v>
      </c>
      <c r="C80" s="1">
        <f>2.09+0.47</f>
        <v>2.5599999999999996</v>
      </c>
      <c r="D80" s="1">
        <f>2.25+0.47</f>
        <v>2.7199999999999998</v>
      </c>
      <c r="E80" s="1">
        <v>2.4700000000000002</v>
      </c>
      <c r="F80" s="1">
        <v>2.5299999999999998</v>
      </c>
      <c r="G80" s="1">
        <v>2.7</v>
      </c>
      <c r="H80" s="1">
        <v>3.3606897637337019</v>
      </c>
      <c r="I80" s="69">
        <v>3.19</v>
      </c>
    </row>
    <row r="81" spans="1:9" s="5" customFormat="1" ht="65.099999999999994" customHeight="1" x14ac:dyDescent="0.3">
      <c r="A81" s="71"/>
      <c r="B81" s="73"/>
      <c r="C81" s="74"/>
      <c r="D81" s="74"/>
      <c r="E81" s="74"/>
      <c r="F81" s="74"/>
      <c r="G81" s="74"/>
      <c r="H81" s="74"/>
      <c r="I81" s="75"/>
    </row>
    <row r="82" spans="1:9" s="5" customFormat="1" ht="30" customHeight="1" x14ac:dyDescent="0.3">
      <c r="A82" s="71" t="s">
        <v>47</v>
      </c>
      <c r="B82" s="1">
        <f>1.74+0.46+0.19</f>
        <v>2.39</v>
      </c>
      <c r="C82" s="1">
        <f>1.96+0.2+0.47</f>
        <v>2.63</v>
      </c>
      <c r="D82" s="1">
        <f>1.92+0.47+0.2</f>
        <v>2.59</v>
      </c>
      <c r="E82" s="1">
        <v>2.06</v>
      </c>
      <c r="F82" s="1">
        <v>2.04</v>
      </c>
      <c r="G82" s="1">
        <v>2.2999999999999998</v>
      </c>
      <c r="H82" s="1">
        <v>3.1493154883071228</v>
      </c>
      <c r="I82" s="69">
        <v>2.9</v>
      </c>
    </row>
    <row r="83" spans="1:9" s="5" customFormat="1" ht="65.099999999999994" customHeight="1" x14ac:dyDescent="0.3">
      <c r="A83" s="71"/>
      <c r="B83" s="73"/>
      <c r="C83" s="74"/>
      <c r="D83" s="74"/>
      <c r="E83" s="74"/>
      <c r="F83" s="74"/>
      <c r="G83" s="74"/>
      <c r="H83" s="74"/>
      <c r="I83" s="75"/>
    </row>
    <row r="84" spans="1:9" s="5" customFormat="1" ht="30" customHeight="1" x14ac:dyDescent="0.3">
      <c r="A84" s="71" t="s">
        <v>48</v>
      </c>
      <c r="B84" s="1">
        <f>1.74+0.46+0.19+0.3</f>
        <v>2.69</v>
      </c>
      <c r="C84" s="1">
        <f>2.09+0.2+0.47+0.26</f>
        <v>3.0199999999999996</v>
      </c>
      <c r="D84" s="1">
        <f>2.11+0.47+0.2+0.26</f>
        <v>3.04</v>
      </c>
      <c r="E84" s="1">
        <v>2.83</v>
      </c>
      <c r="F84" s="1">
        <v>2.83</v>
      </c>
      <c r="G84" s="1">
        <v>2.78</v>
      </c>
      <c r="H84" s="1">
        <v>3.6943118642594466</v>
      </c>
      <c r="I84" s="69">
        <v>3.69</v>
      </c>
    </row>
    <row r="85" spans="1:9" s="5" customFormat="1" ht="65.099999999999994" customHeight="1" x14ac:dyDescent="0.3">
      <c r="A85" s="71"/>
      <c r="B85" s="73"/>
      <c r="C85" s="74"/>
      <c r="D85" s="74"/>
      <c r="E85" s="74"/>
      <c r="F85" s="74"/>
      <c r="G85" s="74"/>
      <c r="H85" s="74"/>
      <c r="I85" s="75"/>
    </row>
    <row r="86" spans="1:9" s="5" customFormat="1" ht="30" customHeight="1" x14ac:dyDescent="0.3">
      <c r="A86" s="71" t="s">
        <v>49</v>
      </c>
      <c r="B86" s="1">
        <f t="shared" ref="B86:B98" si="0">1.74+0.46+0.19</f>
        <v>2.39</v>
      </c>
      <c r="C86" s="1">
        <f>2.08+0.16+0.47</f>
        <v>2.71</v>
      </c>
      <c r="D86" s="1">
        <f>2.05+0.47+0.16</f>
        <v>2.6799999999999997</v>
      </c>
      <c r="E86" s="1">
        <v>2.2799999999999998</v>
      </c>
      <c r="F86" s="1">
        <v>1.89</v>
      </c>
      <c r="G86" s="1">
        <v>2.4</v>
      </c>
      <c r="H86" s="1">
        <v>3.429269187140314</v>
      </c>
      <c r="I86" s="69">
        <v>3.09</v>
      </c>
    </row>
    <row r="87" spans="1:9" s="5" customFormat="1" ht="65.099999999999994" customHeight="1" x14ac:dyDescent="0.3">
      <c r="A87" s="71"/>
      <c r="B87" s="73"/>
      <c r="C87" s="74"/>
      <c r="D87" s="74"/>
      <c r="E87" s="74"/>
      <c r="F87" s="74"/>
      <c r="G87" s="74"/>
      <c r="H87" s="74"/>
      <c r="I87" s="75"/>
    </row>
    <row r="88" spans="1:9" s="5" customFormat="1" ht="30" customHeight="1" x14ac:dyDescent="0.3">
      <c r="A88" s="71" t="s">
        <v>50</v>
      </c>
      <c r="B88" s="1">
        <f t="shared" si="0"/>
        <v>2.39</v>
      </c>
      <c r="C88" s="1">
        <f>2.02+0.2+0.47</f>
        <v>2.6900000000000004</v>
      </c>
      <c r="D88" s="1">
        <f>1.58+0.47+0.2</f>
        <v>2.25</v>
      </c>
      <c r="E88" s="1">
        <v>1.91</v>
      </c>
      <c r="F88" s="1">
        <v>1.88</v>
      </c>
      <c r="G88" s="1">
        <v>2.29</v>
      </c>
      <c r="H88" s="1">
        <v>3.154183011866206</v>
      </c>
      <c r="I88" s="69">
        <v>2.97</v>
      </c>
    </row>
    <row r="89" spans="1:9" s="5" customFormat="1" ht="65.099999999999994" customHeight="1" x14ac:dyDescent="0.3">
      <c r="A89" s="71"/>
      <c r="B89" s="73"/>
      <c r="C89" s="74"/>
      <c r="D89" s="74"/>
      <c r="E89" s="74"/>
      <c r="F89" s="74"/>
      <c r="G89" s="74"/>
      <c r="H89" s="74"/>
      <c r="I89" s="75"/>
    </row>
    <row r="90" spans="1:9" s="5" customFormat="1" ht="30" customHeight="1" x14ac:dyDescent="0.3">
      <c r="A90" s="72" t="s">
        <v>51</v>
      </c>
      <c r="B90" s="1">
        <f t="shared" si="0"/>
        <v>2.39</v>
      </c>
      <c r="C90" s="1">
        <f>1.97+0.2+0.47</f>
        <v>2.6399999999999997</v>
      </c>
      <c r="D90" s="1">
        <f>1.72+0.47+0.2</f>
        <v>2.39</v>
      </c>
      <c r="E90" s="1">
        <v>2.04</v>
      </c>
      <c r="F90" s="1">
        <v>2.08</v>
      </c>
      <c r="G90" s="1">
        <v>2.64</v>
      </c>
      <c r="H90" s="1">
        <v>3.1674501322103303</v>
      </c>
      <c r="I90" s="69">
        <v>3.17</v>
      </c>
    </row>
    <row r="91" spans="1:9" s="5" customFormat="1" ht="65.099999999999994" customHeight="1" x14ac:dyDescent="0.3">
      <c r="A91" s="72"/>
      <c r="B91" s="73"/>
      <c r="C91" s="74"/>
      <c r="D91" s="74"/>
      <c r="E91" s="74"/>
      <c r="F91" s="74"/>
      <c r="G91" s="74"/>
      <c r="H91" s="74"/>
      <c r="I91" s="75"/>
    </row>
    <row r="92" spans="1:9" s="5" customFormat="1" ht="30" customHeight="1" x14ac:dyDescent="0.3">
      <c r="A92" s="71" t="s">
        <v>52</v>
      </c>
      <c r="B92" s="1">
        <f t="shared" si="0"/>
        <v>2.39</v>
      </c>
      <c r="C92" s="1">
        <f>1.83+0.2+0.47</f>
        <v>2.5</v>
      </c>
      <c r="D92" s="1">
        <f>1.83+0.47+0.2</f>
        <v>2.5</v>
      </c>
      <c r="E92" s="1">
        <v>2.23</v>
      </c>
      <c r="F92" s="1">
        <v>2.11</v>
      </c>
      <c r="G92" s="1">
        <v>2.46</v>
      </c>
      <c r="H92" s="1">
        <v>3.1492756957723915</v>
      </c>
      <c r="I92" s="69">
        <v>3.15</v>
      </c>
    </row>
    <row r="93" spans="1:9" s="5" customFormat="1" ht="65.099999999999994" customHeight="1" x14ac:dyDescent="0.3">
      <c r="A93" s="71"/>
      <c r="B93" s="73"/>
      <c r="C93" s="74"/>
      <c r="D93" s="74"/>
      <c r="E93" s="74"/>
      <c r="F93" s="74"/>
      <c r="G93" s="74"/>
      <c r="H93" s="74"/>
      <c r="I93" s="75"/>
    </row>
    <row r="94" spans="1:9" s="5" customFormat="1" ht="30" customHeight="1" x14ac:dyDescent="0.3">
      <c r="A94" s="71" t="s">
        <v>53</v>
      </c>
      <c r="B94" s="1">
        <f t="shared" si="0"/>
        <v>2.39</v>
      </c>
      <c r="C94" s="1">
        <f>2.05+0.16+0.47</f>
        <v>2.6799999999999997</v>
      </c>
      <c r="D94" s="1">
        <f>2.1+0.47+0.16</f>
        <v>2.7300000000000004</v>
      </c>
      <c r="E94" s="1">
        <v>2.36</v>
      </c>
      <c r="F94" s="1">
        <v>2.35</v>
      </c>
      <c r="G94" s="1">
        <v>2.35</v>
      </c>
      <c r="H94" s="1">
        <v>3.0916293735748877</v>
      </c>
      <c r="I94" s="69">
        <v>3.09</v>
      </c>
    </row>
    <row r="95" spans="1:9" s="5" customFormat="1" ht="65.099999999999994" customHeight="1" x14ac:dyDescent="0.3">
      <c r="A95" s="71"/>
      <c r="B95" s="73"/>
      <c r="C95" s="74"/>
      <c r="D95" s="74"/>
      <c r="E95" s="74"/>
      <c r="F95" s="74"/>
      <c r="G95" s="74"/>
      <c r="H95" s="74"/>
      <c r="I95" s="75"/>
    </row>
    <row r="96" spans="1:9" s="5" customFormat="1" ht="30" customHeight="1" x14ac:dyDescent="0.3">
      <c r="A96" s="71" t="s">
        <v>54</v>
      </c>
      <c r="B96" s="1">
        <f t="shared" si="0"/>
        <v>2.39</v>
      </c>
      <c r="C96" s="1">
        <f>1.61+0.2+0.47</f>
        <v>2.2800000000000002</v>
      </c>
      <c r="D96" s="1">
        <f>1.69+0.47+0.2</f>
        <v>2.3600000000000003</v>
      </c>
      <c r="E96" s="1">
        <v>1.7</v>
      </c>
      <c r="F96" s="1">
        <v>1.84</v>
      </c>
      <c r="G96" s="1">
        <v>1.77</v>
      </c>
      <c r="H96" s="1">
        <v>2.8668038645548153</v>
      </c>
      <c r="I96" s="69">
        <v>2.7</v>
      </c>
    </row>
    <row r="97" spans="1:9" s="5" customFormat="1" ht="65.099999999999994" customHeight="1" x14ac:dyDescent="0.3">
      <c r="A97" s="71"/>
      <c r="B97" s="73"/>
      <c r="C97" s="74"/>
      <c r="D97" s="74"/>
      <c r="E97" s="74"/>
      <c r="F97" s="74"/>
      <c r="G97" s="74"/>
      <c r="H97" s="74"/>
      <c r="I97" s="75"/>
    </row>
    <row r="98" spans="1:9" s="5" customFormat="1" ht="30" customHeight="1" x14ac:dyDescent="0.3">
      <c r="A98" s="71" t="s">
        <v>55</v>
      </c>
      <c r="B98" s="1">
        <f t="shared" si="0"/>
        <v>2.39</v>
      </c>
      <c r="C98" s="1">
        <f>1.44+0.2+0.47</f>
        <v>2.11</v>
      </c>
      <c r="D98" s="1">
        <f>1.44+0.47+0.2</f>
        <v>2.11</v>
      </c>
      <c r="E98" s="1">
        <v>1.88</v>
      </c>
      <c r="F98" s="1">
        <v>1.74</v>
      </c>
      <c r="G98" s="1">
        <v>1.68</v>
      </c>
      <c r="H98" s="1">
        <v>2.6123933339333303</v>
      </c>
      <c r="I98" s="1">
        <v>2.61</v>
      </c>
    </row>
    <row r="99" spans="1:9" s="5" customFormat="1" ht="65.099999999999994" customHeight="1" x14ac:dyDescent="0.3">
      <c r="A99" s="71"/>
      <c r="B99" s="73"/>
      <c r="C99" s="74"/>
      <c r="D99" s="74"/>
      <c r="E99" s="74"/>
      <c r="F99" s="74"/>
      <c r="G99" s="74"/>
      <c r="H99" s="74"/>
      <c r="I99" s="75"/>
    </row>
    <row r="100" spans="1:9" s="5" customFormat="1" ht="30" customHeight="1" x14ac:dyDescent="0.3">
      <c r="A100" s="71" t="s">
        <v>56</v>
      </c>
      <c r="B100" s="1">
        <f>1.74+0.46</f>
        <v>2.2000000000000002</v>
      </c>
      <c r="C100" s="1">
        <f>1.72+0.47</f>
        <v>2.19</v>
      </c>
      <c r="D100" s="1">
        <f>1.85+0.47</f>
        <v>2.3200000000000003</v>
      </c>
      <c r="E100" s="1">
        <v>2.2000000000000002</v>
      </c>
      <c r="F100" s="1">
        <v>2.09</v>
      </c>
      <c r="G100" s="1">
        <v>1.75</v>
      </c>
      <c r="H100" s="1">
        <v>2.607584780003259</v>
      </c>
      <c r="I100" s="1">
        <v>2.61</v>
      </c>
    </row>
    <row r="101" spans="1:9" s="5" customFormat="1" ht="65.099999999999994" customHeight="1" x14ac:dyDescent="0.3">
      <c r="A101" s="71"/>
      <c r="B101" s="73"/>
      <c r="C101" s="74"/>
      <c r="D101" s="74"/>
      <c r="E101" s="74"/>
      <c r="F101" s="74"/>
      <c r="G101" s="74"/>
      <c r="H101" s="74"/>
      <c r="I101" s="75"/>
    </row>
    <row r="102" spans="1:9" s="5" customFormat="1" ht="30" customHeight="1" x14ac:dyDescent="0.3">
      <c r="A102" s="71" t="s">
        <v>57</v>
      </c>
      <c r="B102" s="1">
        <f>1.74+0.46</f>
        <v>2.2000000000000002</v>
      </c>
      <c r="C102" s="1">
        <f>2.09+0.47</f>
        <v>2.5599999999999996</v>
      </c>
      <c r="D102" s="1">
        <f>2.09+0.47</f>
        <v>2.5599999999999996</v>
      </c>
      <c r="E102" s="1">
        <v>2.2400000000000002</v>
      </c>
      <c r="F102" s="1">
        <v>2.23</v>
      </c>
      <c r="G102" s="1">
        <v>2.2999999999999998</v>
      </c>
      <c r="H102" s="1">
        <v>3.1213385721636047</v>
      </c>
      <c r="I102" s="1">
        <v>3.12</v>
      </c>
    </row>
    <row r="103" spans="1:9" s="5" customFormat="1" ht="65.099999999999994" customHeight="1" x14ac:dyDescent="0.3">
      <c r="A103" s="71"/>
      <c r="B103" s="73"/>
      <c r="C103" s="74"/>
      <c r="D103" s="74"/>
      <c r="E103" s="74"/>
      <c r="F103" s="74"/>
      <c r="G103" s="74"/>
      <c r="H103" s="74"/>
      <c r="I103" s="75"/>
    </row>
    <row r="104" spans="1:9" s="5" customFormat="1" ht="30" customHeight="1" x14ac:dyDescent="0.3">
      <c r="A104" s="71" t="s">
        <v>58</v>
      </c>
      <c r="B104" s="1">
        <f>1.74+0.46</f>
        <v>2.2000000000000002</v>
      </c>
      <c r="C104" s="1">
        <f>1.78+0.47</f>
        <v>2.25</v>
      </c>
      <c r="D104" s="1">
        <f>2.03+0.47</f>
        <v>2.5</v>
      </c>
      <c r="E104" s="1">
        <v>2.6</v>
      </c>
      <c r="F104" s="1">
        <v>2.27</v>
      </c>
      <c r="G104" s="1">
        <v>1.94</v>
      </c>
      <c r="H104" s="1">
        <v>2.3814042840980725</v>
      </c>
      <c r="I104" s="1">
        <v>2.38</v>
      </c>
    </row>
    <row r="105" spans="1:9" s="5" customFormat="1" ht="65.099999999999994" customHeight="1" x14ac:dyDescent="0.3">
      <c r="A105" s="71"/>
      <c r="B105" s="73"/>
      <c r="C105" s="74"/>
      <c r="D105" s="74"/>
      <c r="E105" s="74"/>
      <c r="F105" s="74"/>
      <c r="G105" s="74"/>
      <c r="H105" s="74"/>
      <c r="I105" s="75"/>
    </row>
    <row r="106" spans="1:9" s="5" customFormat="1" ht="30" customHeight="1" x14ac:dyDescent="0.3">
      <c r="A106" s="71" t="s">
        <v>59</v>
      </c>
      <c r="B106" s="1">
        <f>1.74+0.46+0.19</f>
        <v>2.39</v>
      </c>
      <c r="C106" s="1">
        <f>1.9+0.2+0.47</f>
        <v>2.5700000000000003</v>
      </c>
      <c r="D106" s="1">
        <f>1.9+0.47+0.2</f>
        <v>2.5700000000000003</v>
      </c>
      <c r="E106" s="1">
        <v>2.48</v>
      </c>
      <c r="F106" s="1">
        <v>2.1800000000000002</v>
      </c>
      <c r="G106" s="1">
        <v>2.1800000000000002</v>
      </c>
      <c r="H106" s="1">
        <v>2.9887824724941563</v>
      </c>
      <c r="I106" s="1">
        <v>2.99</v>
      </c>
    </row>
    <row r="107" spans="1:9" s="5" customFormat="1" ht="65.099999999999994" customHeight="1" x14ac:dyDescent="0.3">
      <c r="A107" s="71"/>
      <c r="B107" s="73"/>
      <c r="C107" s="74"/>
      <c r="D107" s="74"/>
      <c r="E107" s="74"/>
      <c r="F107" s="74"/>
      <c r="G107" s="74"/>
      <c r="H107" s="74"/>
      <c r="I107" s="75"/>
    </row>
    <row r="108" spans="1:9" s="5" customFormat="1" ht="30" customHeight="1" x14ac:dyDescent="0.3">
      <c r="A108" s="71" t="s">
        <v>60</v>
      </c>
      <c r="B108" s="1">
        <f>1.74+0.46+0.19</f>
        <v>2.39</v>
      </c>
      <c r="C108" s="1">
        <f>1.93+0.2+0.47</f>
        <v>2.5999999999999996</v>
      </c>
      <c r="D108" s="1">
        <f>1.66+0.47+0.2</f>
        <v>2.33</v>
      </c>
      <c r="E108" s="1">
        <v>1.96</v>
      </c>
      <c r="F108" s="1">
        <v>1.95</v>
      </c>
      <c r="G108" s="1">
        <v>2.0699999999999998</v>
      </c>
      <c r="H108" s="1">
        <v>3.1460202850451591</v>
      </c>
      <c r="I108" s="1">
        <v>2.91</v>
      </c>
    </row>
    <row r="109" spans="1:9" s="5" customFormat="1" ht="65.099999999999994" customHeight="1" x14ac:dyDescent="0.3">
      <c r="A109" s="71"/>
      <c r="B109" s="73"/>
      <c r="C109" s="74"/>
      <c r="D109" s="74"/>
      <c r="E109" s="74"/>
      <c r="F109" s="74"/>
      <c r="G109" s="74"/>
      <c r="H109" s="74"/>
      <c r="I109" s="75"/>
    </row>
    <row r="110" spans="1:9" s="5" customFormat="1" ht="30" customHeight="1" x14ac:dyDescent="0.3">
      <c r="A110" s="71" t="s">
        <v>61</v>
      </c>
      <c r="B110" s="1">
        <f>1.73+0.51+0.15</f>
        <v>2.39</v>
      </c>
      <c r="C110" s="1">
        <f>2.19+0.15+0.47</f>
        <v>2.8099999999999996</v>
      </c>
      <c r="D110" s="1">
        <f>2.34+0.47+0.15</f>
        <v>2.9599999999999995</v>
      </c>
      <c r="E110" s="1">
        <v>3.34</v>
      </c>
      <c r="F110" s="1">
        <v>3.12</v>
      </c>
      <c r="G110" s="1">
        <v>3.62</v>
      </c>
      <c r="H110" s="1">
        <v>4.2381483689735191</v>
      </c>
      <c r="I110" s="1">
        <v>3.82</v>
      </c>
    </row>
    <row r="111" spans="1:9" s="5" customFormat="1" ht="65.099999999999994" customHeight="1" x14ac:dyDescent="0.3">
      <c r="A111" s="71"/>
      <c r="B111" s="73"/>
      <c r="C111" s="74"/>
      <c r="D111" s="74"/>
      <c r="E111" s="74"/>
      <c r="F111" s="74"/>
      <c r="G111" s="74"/>
      <c r="H111" s="74"/>
      <c r="I111" s="75"/>
    </row>
    <row r="112" spans="1:9" s="5" customFormat="1" ht="30" customHeight="1" x14ac:dyDescent="0.3">
      <c r="A112" s="71" t="s">
        <v>62</v>
      </c>
      <c r="B112" s="1">
        <f>1.73+0.51+0.15</f>
        <v>2.39</v>
      </c>
      <c r="C112" s="1">
        <f>2.2+0.15+0.47</f>
        <v>2.8200000000000003</v>
      </c>
      <c r="D112" s="1">
        <f>2.24+0.45+0.15</f>
        <v>2.8400000000000003</v>
      </c>
      <c r="E112" s="1">
        <v>2.86</v>
      </c>
      <c r="F112" s="1">
        <v>2.81</v>
      </c>
      <c r="G112" s="1">
        <v>2.92</v>
      </c>
      <c r="H112" s="1">
        <v>3.5450621019248016</v>
      </c>
      <c r="I112" s="1">
        <v>3.21</v>
      </c>
    </row>
    <row r="113" spans="1:9" s="5" customFormat="1" ht="65.099999999999994" customHeight="1" x14ac:dyDescent="0.3">
      <c r="A113" s="71"/>
      <c r="B113" s="73"/>
      <c r="C113" s="74"/>
      <c r="D113" s="74"/>
      <c r="E113" s="74"/>
      <c r="F113" s="74"/>
      <c r="G113" s="74"/>
      <c r="H113" s="74"/>
      <c r="I113" s="75"/>
    </row>
    <row r="114" spans="1:9" s="5" customFormat="1" ht="30" customHeight="1" x14ac:dyDescent="0.3">
      <c r="A114" s="71" t="s">
        <v>63</v>
      </c>
      <c r="B114" s="1">
        <f>1.73+0.57+0.15</f>
        <v>2.4499999999999997</v>
      </c>
      <c r="C114" s="1">
        <f>2.18+0.15+0.47</f>
        <v>2.8</v>
      </c>
      <c r="D114" s="1">
        <f>2.39+0.55+0.15</f>
        <v>3.0900000000000003</v>
      </c>
      <c r="E114" s="1">
        <v>3.15</v>
      </c>
      <c r="F114" s="1">
        <v>3.06</v>
      </c>
      <c r="G114" s="1">
        <v>3.2</v>
      </c>
      <c r="H114" s="1">
        <v>3.8548008690547637</v>
      </c>
      <c r="I114" s="1">
        <v>3.85</v>
      </c>
    </row>
    <row r="115" spans="1:9" s="5" customFormat="1" ht="65.099999999999994" customHeight="1" x14ac:dyDescent="0.3">
      <c r="A115" s="71"/>
      <c r="B115" s="73"/>
      <c r="C115" s="74"/>
      <c r="D115" s="74"/>
      <c r="E115" s="74"/>
      <c r="F115" s="74"/>
      <c r="G115" s="74"/>
      <c r="H115" s="74"/>
      <c r="I115" s="75"/>
    </row>
    <row r="116" spans="1:9" s="5" customFormat="1" ht="30" customHeight="1" x14ac:dyDescent="0.3">
      <c r="A116" s="71" t="s">
        <v>64</v>
      </c>
      <c r="B116" s="1">
        <f>1.73+0.51+0.15+0.26</f>
        <v>2.6500000000000004</v>
      </c>
      <c r="C116" s="1">
        <f>2.19+0.15+0.47+0.22</f>
        <v>3.03</v>
      </c>
      <c r="D116" s="1">
        <f>1.96+0.47+0.15+0.22</f>
        <v>2.8</v>
      </c>
      <c r="E116" s="1">
        <v>2.85</v>
      </c>
      <c r="F116" s="1">
        <v>2.57</v>
      </c>
      <c r="G116" s="1">
        <v>2.98</v>
      </c>
      <c r="H116" s="1">
        <v>3.9648894656675484</v>
      </c>
      <c r="I116" s="1">
        <v>3.85</v>
      </c>
    </row>
    <row r="117" spans="1:9" s="5" customFormat="1" ht="65.099999999999994" customHeight="1" x14ac:dyDescent="0.3">
      <c r="A117" s="71"/>
      <c r="B117" s="73"/>
      <c r="C117" s="74"/>
      <c r="D117" s="74"/>
      <c r="E117" s="74"/>
      <c r="F117" s="74"/>
      <c r="G117" s="74"/>
      <c r="H117" s="74"/>
      <c r="I117" s="75"/>
    </row>
    <row r="118" spans="1:9" s="5" customFormat="1" ht="30" customHeight="1" x14ac:dyDescent="0.3">
      <c r="A118" s="71" t="s">
        <v>65</v>
      </c>
      <c r="B118" s="1">
        <f t="shared" ref="B118:B130" si="1">1.73+0.55+0.15+0.26</f>
        <v>2.6900000000000004</v>
      </c>
      <c r="C118" s="1">
        <f>2.17+0.15+0.47+0.24</f>
        <v>3.0300000000000002</v>
      </c>
      <c r="D118" s="1">
        <f>2.4+0.54+0.15+0.24</f>
        <v>3.33</v>
      </c>
      <c r="E118" s="1">
        <v>3.06</v>
      </c>
      <c r="F118" s="1">
        <v>3.1</v>
      </c>
      <c r="G118" s="1">
        <v>3.2</v>
      </c>
      <c r="H118" s="1">
        <v>4.0922034585356579</v>
      </c>
      <c r="I118" s="1">
        <v>3.74</v>
      </c>
    </row>
    <row r="119" spans="1:9" s="5" customFormat="1" ht="65.099999999999994" customHeight="1" x14ac:dyDescent="0.3">
      <c r="A119" s="71"/>
      <c r="B119" s="73"/>
      <c r="C119" s="74"/>
      <c r="D119" s="74"/>
      <c r="E119" s="74"/>
      <c r="F119" s="74"/>
      <c r="G119" s="74"/>
      <c r="H119" s="74"/>
      <c r="I119" s="75"/>
    </row>
    <row r="120" spans="1:9" s="5" customFormat="1" ht="30" customHeight="1" x14ac:dyDescent="0.3">
      <c r="A120" s="71" t="s">
        <v>66</v>
      </c>
      <c r="B120" s="1">
        <f t="shared" si="1"/>
        <v>2.6900000000000004</v>
      </c>
      <c r="C120" s="1">
        <f>2.17+0.15+0.47+0.24</f>
        <v>3.0300000000000002</v>
      </c>
      <c r="D120" s="1">
        <f>2.4+0.54+0.15+0.24</f>
        <v>3.33</v>
      </c>
      <c r="E120" s="1">
        <v>3.3</v>
      </c>
      <c r="F120" s="1">
        <v>3.33</v>
      </c>
      <c r="G120" s="1">
        <v>3.53</v>
      </c>
      <c r="H120" s="1">
        <v>4.0920320367723901</v>
      </c>
      <c r="I120" s="1">
        <v>3.47</v>
      </c>
    </row>
    <row r="121" spans="1:9" s="5" customFormat="1" ht="65.099999999999994" customHeight="1" x14ac:dyDescent="0.3">
      <c r="A121" s="71"/>
      <c r="B121" s="73"/>
      <c r="C121" s="74"/>
      <c r="D121" s="74"/>
      <c r="E121" s="74"/>
      <c r="F121" s="74"/>
      <c r="G121" s="74"/>
      <c r="H121" s="74"/>
      <c r="I121" s="75"/>
    </row>
    <row r="122" spans="1:9" s="5" customFormat="1" ht="30" customHeight="1" x14ac:dyDescent="0.3">
      <c r="A122" s="71" t="s">
        <v>67</v>
      </c>
      <c r="B122" s="1">
        <f t="shared" si="1"/>
        <v>2.6900000000000004</v>
      </c>
      <c r="C122" s="1">
        <f>2.17+0.15+0.47+0.23</f>
        <v>3.02</v>
      </c>
      <c r="D122" s="1">
        <f>2.4+0.54+0.15+0.23</f>
        <v>3.32</v>
      </c>
      <c r="E122" s="1">
        <v>3.17</v>
      </c>
      <c r="F122" s="1">
        <v>3.25</v>
      </c>
      <c r="G122" s="1">
        <v>3.47</v>
      </c>
      <c r="H122" s="1">
        <v>4.1081403161382957</v>
      </c>
      <c r="I122" s="1">
        <v>3.63</v>
      </c>
    </row>
    <row r="123" spans="1:9" s="5" customFormat="1" ht="65.099999999999994" customHeight="1" x14ac:dyDescent="0.3">
      <c r="A123" s="71"/>
      <c r="B123" s="73"/>
      <c r="C123" s="74"/>
      <c r="D123" s="74"/>
      <c r="E123" s="74"/>
      <c r="F123" s="74"/>
      <c r="G123" s="74"/>
      <c r="H123" s="74"/>
      <c r="I123" s="75"/>
    </row>
    <row r="124" spans="1:9" s="5" customFormat="1" ht="30" customHeight="1" x14ac:dyDescent="0.3">
      <c r="A124" s="71" t="s">
        <v>68</v>
      </c>
      <c r="B124" s="1">
        <f t="shared" si="1"/>
        <v>2.6900000000000004</v>
      </c>
      <c r="C124" s="1">
        <f>2.18+0.15+0.47+0.22</f>
        <v>3.02</v>
      </c>
      <c r="D124" s="1">
        <f>2.41+0.54+0.15+0.22</f>
        <v>3.3200000000000003</v>
      </c>
      <c r="E124" s="1">
        <v>3.58</v>
      </c>
      <c r="F124" s="1">
        <v>3.58</v>
      </c>
      <c r="G124" s="1">
        <v>3.64</v>
      </c>
      <c r="H124" s="1">
        <v>4.0581058377254928</v>
      </c>
      <c r="I124" s="1">
        <v>3.86</v>
      </c>
    </row>
    <row r="125" spans="1:9" s="5" customFormat="1" ht="65.099999999999994" customHeight="1" x14ac:dyDescent="0.3">
      <c r="A125" s="71"/>
      <c r="B125" s="73"/>
      <c r="C125" s="74"/>
      <c r="D125" s="74"/>
      <c r="E125" s="74"/>
      <c r="F125" s="74"/>
      <c r="G125" s="74"/>
      <c r="H125" s="74"/>
      <c r="I125" s="75"/>
    </row>
    <row r="126" spans="1:9" s="5" customFormat="1" ht="30" customHeight="1" x14ac:dyDescent="0.3">
      <c r="A126" s="71" t="s">
        <v>69</v>
      </c>
      <c r="B126" s="1">
        <f t="shared" si="1"/>
        <v>2.6900000000000004</v>
      </c>
      <c r="C126" s="1">
        <f>2.17+0.15+0.47+0.23</f>
        <v>3.02</v>
      </c>
      <c r="D126" s="1">
        <f>2.4+0.54+0.15+0.23</f>
        <v>3.32</v>
      </c>
      <c r="E126" s="1">
        <v>3.56</v>
      </c>
      <c r="F126" s="1">
        <v>3.48</v>
      </c>
      <c r="G126" s="1">
        <v>3.67</v>
      </c>
      <c r="H126" s="1">
        <v>3.8260592914455978</v>
      </c>
      <c r="I126" s="1">
        <v>3.83</v>
      </c>
    </row>
    <row r="127" spans="1:9" s="5" customFormat="1" ht="65.099999999999994" customHeight="1" x14ac:dyDescent="0.3">
      <c r="A127" s="71"/>
      <c r="B127" s="73"/>
      <c r="C127" s="74"/>
      <c r="D127" s="74"/>
      <c r="E127" s="74"/>
      <c r="F127" s="74"/>
      <c r="G127" s="74"/>
      <c r="H127" s="74"/>
      <c r="I127" s="75"/>
    </row>
    <row r="128" spans="1:9" s="5" customFormat="1" ht="30" customHeight="1" x14ac:dyDescent="0.3">
      <c r="A128" s="71" t="s">
        <v>70</v>
      </c>
      <c r="B128" s="1">
        <f t="shared" si="1"/>
        <v>2.6900000000000004</v>
      </c>
      <c r="C128" s="1">
        <f>2.18+0.15+0.47+0.21</f>
        <v>3.01</v>
      </c>
      <c r="D128" s="1">
        <f>2.41+0.54+0.15+0.21</f>
        <v>3.31</v>
      </c>
      <c r="E128" s="1">
        <v>3.49</v>
      </c>
      <c r="F128" s="1">
        <v>3.39</v>
      </c>
      <c r="G128" s="1">
        <v>3.67</v>
      </c>
      <c r="H128" s="1">
        <v>3.9878999627370417</v>
      </c>
      <c r="I128" s="1">
        <v>3.44</v>
      </c>
    </row>
    <row r="129" spans="1:9" s="5" customFormat="1" ht="65.099999999999994" customHeight="1" x14ac:dyDescent="0.3">
      <c r="A129" s="71"/>
      <c r="B129" s="73"/>
      <c r="C129" s="74"/>
      <c r="D129" s="74"/>
      <c r="E129" s="74"/>
      <c r="F129" s="74"/>
      <c r="G129" s="74"/>
      <c r="H129" s="74"/>
      <c r="I129" s="75"/>
    </row>
    <row r="130" spans="1:9" s="5" customFormat="1" ht="30" customHeight="1" x14ac:dyDescent="0.3">
      <c r="A130" s="71" t="s">
        <v>71</v>
      </c>
      <c r="B130" s="1">
        <f t="shared" si="1"/>
        <v>2.6900000000000004</v>
      </c>
      <c r="C130" s="1">
        <f>2.17+0.15+0.47+0.2</f>
        <v>2.99</v>
      </c>
      <c r="D130" s="1">
        <f>2.4+0.54+0.15+0.2</f>
        <v>3.29</v>
      </c>
      <c r="E130" s="1">
        <v>2.65</v>
      </c>
      <c r="F130" s="1">
        <v>2.97</v>
      </c>
      <c r="G130" s="1">
        <v>3.13</v>
      </c>
      <c r="H130" s="1">
        <v>4.1429614676241409</v>
      </c>
      <c r="I130" s="1">
        <v>3.89</v>
      </c>
    </row>
    <row r="131" spans="1:9" s="5" customFormat="1" ht="65.099999999999994" customHeight="1" x14ac:dyDescent="0.3">
      <c r="A131" s="71"/>
      <c r="B131" s="73"/>
      <c r="C131" s="74"/>
      <c r="D131" s="74"/>
      <c r="E131" s="74"/>
      <c r="F131" s="74"/>
      <c r="G131" s="74"/>
      <c r="H131" s="74"/>
      <c r="I131" s="75"/>
    </row>
    <row r="132" spans="1:9" s="5" customFormat="1" ht="30" customHeight="1" x14ac:dyDescent="0.3">
      <c r="A132" s="71" t="s">
        <v>72</v>
      </c>
      <c r="B132" s="1">
        <f>1.73+0.51+0.15+0.26</f>
        <v>2.6500000000000004</v>
      </c>
      <c r="C132" s="1">
        <f>1.94+0.15+0.51+0.22</f>
        <v>2.82</v>
      </c>
      <c r="D132" s="1">
        <f>2.16+0.51+0.15+0.22</f>
        <v>3.04</v>
      </c>
      <c r="E132" s="1">
        <v>3</v>
      </c>
      <c r="F132" s="1">
        <v>2.86</v>
      </c>
      <c r="G132" s="1">
        <v>2.86</v>
      </c>
      <c r="H132" s="1">
        <v>3.7547932731601685</v>
      </c>
      <c r="I132" s="1">
        <v>3.53</v>
      </c>
    </row>
    <row r="133" spans="1:9" s="5" customFormat="1" ht="65.099999999999994" customHeight="1" x14ac:dyDescent="0.3">
      <c r="A133" s="71"/>
      <c r="B133" s="73"/>
      <c r="C133" s="74"/>
      <c r="D133" s="74"/>
      <c r="E133" s="74"/>
      <c r="F133" s="74"/>
      <c r="G133" s="74"/>
      <c r="H133" s="74"/>
      <c r="I133" s="75"/>
    </row>
    <row r="134" spans="1:9" s="5" customFormat="1" ht="30" customHeight="1" x14ac:dyDescent="0.3">
      <c r="A134" s="71" t="s">
        <v>73</v>
      </c>
      <c r="B134" s="1">
        <f>1.7+0.52</f>
        <v>2.2199999999999998</v>
      </c>
      <c r="C134" s="1">
        <f>2.05+0.52</f>
        <v>2.57</v>
      </c>
      <c r="D134" s="1">
        <f>2.39+0.48</f>
        <v>2.87</v>
      </c>
      <c r="E134" s="1">
        <v>4.05</v>
      </c>
      <c r="F134" s="1">
        <v>3.37</v>
      </c>
      <c r="G134" s="1">
        <v>3.21</v>
      </c>
      <c r="H134" s="1">
        <v>2.5396398884383928</v>
      </c>
      <c r="I134" s="1">
        <v>2.54</v>
      </c>
    </row>
    <row r="135" spans="1:9" s="5" customFormat="1" ht="65.099999999999994" customHeight="1" x14ac:dyDescent="0.3">
      <c r="A135" s="71"/>
      <c r="B135" s="73"/>
      <c r="C135" s="74"/>
      <c r="D135" s="74"/>
      <c r="E135" s="74"/>
      <c r="F135" s="74"/>
      <c r="G135" s="74"/>
      <c r="H135" s="74"/>
      <c r="I135" s="75"/>
    </row>
    <row r="136" spans="1:9" s="5" customFormat="1" ht="30" customHeight="1" x14ac:dyDescent="0.3">
      <c r="A136" s="71" t="s">
        <v>74</v>
      </c>
      <c r="B136" s="1">
        <f>1.7+0.52</f>
        <v>2.2199999999999998</v>
      </c>
      <c r="C136" s="1">
        <f>2.06+0.52</f>
        <v>2.58</v>
      </c>
      <c r="D136" s="1">
        <f>2.39+0.49</f>
        <v>2.88</v>
      </c>
      <c r="E136" s="1">
        <v>3.58</v>
      </c>
      <c r="F136" s="1">
        <v>3.31</v>
      </c>
      <c r="G136" s="1">
        <v>3</v>
      </c>
      <c r="H136" s="1">
        <v>2.8412931446834833</v>
      </c>
      <c r="I136" s="1">
        <v>2.84</v>
      </c>
    </row>
    <row r="137" spans="1:9" s="5" customFormat="1" ht="65.099999999999994" customHeight="1" x14ac:dyDescent="0.3">
      <c r="A137" s="71"/>
      <c r="B137" s="73"/>
      <c r="C137" s="74"/>
      <c r="D137" s="74"/>
      <c r="E137" s="74"/>
      <c r="F137" s="74"/>
      <c r="G137" s="74"/>
      <c r="H137" s="74"/>
      <c r="I137" s="75"/>
    </row>
    <row r="138" spans="1:9" s="5" customFormat="1" ht="30" customHeight="1" x14ac:dyDescent="0.3">
      <c r="A138" s="71" t="s">
        <v>75</v>
      </c>
      <c r="B138" s="1">
        <f>1.7+0.52+0.21</f>
        <v>2.4299999999999997</v>
      </c>
      <c r="C138" s="1">
        <f>2.06+0.22+0.52</f>
        <v>2.8000000000000003</v>
      </c>
      <c r="D138" s="1">
        <f>2.22+0.49+0.22</f>
        <v>2.93</v>
      </c>
      <c r="E138" s="1">
        <v>3.19</v>
      </c>
      <c r="F138" s="1">
        <v>2.85</v>
      </c>
      <c r="G138" s="1">
        <v>2.68</v>
      </c>
      <c r="H138" s="1">
        <v>3.0215022080528744</v>
      </c>
      <c r="I138" s="1">
        <v>3.02</v>
      </c>
    </row>
    <row r="139" spans="1:9" s="5" customFormat="1" ht="65.099999999999994" customHeight="1" x14ac:dyDescent="0.3">
      <c r="A139" s="71"/>
      <c r="B139" s="73"/>
      <c r="C139" s="74"/>
      <c r="D139" s="74"/>
      <c r="E139" s="74"/>
      <c r="F139" s="74"/>
      <c r="G139" s="74"/>
      <c r="H139" s="74"/>
      <c r="I139" s="75"/>
    </row>
    <row r="140" spans="1:9" s="5" customFormat="1" ht="30" customHeight="1" x14ac:dyDescent="0.3">
      <c r="A140" s="71" t="s">
        <v>76</v>
      </c>
      <c r="B140" s="1">
        <f>1.7+0.52</f>
        <v>2.2199999999999998</v>
      </c>
      <c r="C140" s="1">
        <f>1.89+0.21+0.52</f>
        <v>2.62</v>
      </c>
      <c r="D140" s="1">
        <f>1.98+0.52+0.21</f>
        <v>2.71</v>
      </c>
      <c r="E140" s="1">
        <v>2.73</v>
      </c>
      <c r="F140" s="1">
        <v>2.41</v>
      </c>
      <c r="G140" s="1">
        <v>2.5299999999999998</v>
      </c>
      <c r="H140" s="1">
        <v>2.8160314293234912</v>
      </c>
      <c r="I140" s="1">
        <v>2.82</v>
      </c>
    </row>
    <row r="141" spans="1:9" s="5" customFormat="1" ht="65.099999999999994" customHeight="1" x14ac:dyDescent="0.3">
      <c r="A141" s="71"/>
      <c r="B141" s="73"/>
      <c r="C141" s="74"/>
      <c r="D141" s="74"/>
      <c r="E141" s="74"/>
      <c r="F141" s="74"/>
      <c r="G141" s="74"/>
      <c r="H141" s="74"/>
      <c r="I141" s="75"/>
    </row>
    <row r="142" spans="1:9" s="5" customFormat="1" ht="30" customHeight="1" x14ac:dyDescent="0.3">
      <c r="A142" s="71" t="s">
        <v>77</v>
      </c>
      <c r="B142" s="1">
        <f>1.7+0.52+0.21+0.2</f>
        <v>2.63</v>
      </c>
      <c r="C142" s="1">
        <f>2.06+0.22+0.52+0.15</f>
        <v>2.95</v>
      </c>
      <c r="D142" s="1">
        <f>2.39+0.49+0.22+0.15</f>
        <v>3.25</v>
      </c>
      <c r="E142" s="1">
        <v>3.62</v>
      </c>
      <c r="F142" s="1">
        <v>3.36</v>
      </c>
      <c r="G142" s="1">
        <v>3.25</v>
      </c>
      <c r="H142" s="1">
        <v>3.5110470251880477</v>
      </c>
      <c r="I142" s="1">
        <v>3.51</v>
      </c>
    </row>
    <row r="143" spans="1:9" s="5" customFormat="1" ht="65.099999999999994" customHeight="1" x14ac:dyDescent="0.3">
      <c r="A143" s="71"/>
      <c r="B143" s="73"/>
      <c r="C143" s="74"/>
      <c r="D143" s="74"/>
      <c r="E143" s="74"/>
      <c r="F143" s="74"/>
      <c r="G143" s="74"/>
      <c r="H143" s="74"/>
      <c r="I143" s="75"/>
    </row>
    <row r="144" spans="1:9" s="5" customFormat="1" ht="30" customHeight="1" x14ac:dyDescent="0.3">
      <c r="A144" s="71" t="s">
        <v>78</v>
      </c>
      <c r="B144" s="1">
        <f t="shared" ref="B144:B156" si="2">1.7+0.52+0.21</f>
        <v>2.4299999999999997</v>
      </c>
      <c r="C144" s="1">
        <f>1.98+0.22+0.52</f>
        <v>2.72</v>
      </c>
      <c r="D144" s="1">
        <f>1.98+0.52+0.22</f>
        <v>2.72</v>
      </c>
      <c r="E144" s="1">
        <v>1.78</v>
      </c>
      <c r="F144" s="1">
        <v>1.95</v>
      </c>
      <c r="G144" s="1">
        <v>2.37</v>
      </c>
      <c r="H144" s="1">
        <v>3.0451660137012464</v>
      </c>
      <c r="I144" s="1">
        <v>3.05</v>
      </c>
    </row>
    <row r="145" spans="1:9" s="5" customFormat="1" ht="65.099999999999994" customHeight="1" x14ac:dyDescent="0.3">
      <c r="A145" s="71"/>
      <c r="B145" s="73"/>
      <c r="C145" s="74"/>
      <c r="D145" s="74"/>
      <c r="E145" s="74"/>
      <c r="F145" s="74"/>
      <c r="G145" s="74"/>
      <c r="H145" s="74"/>
      <c r="I145" s="75"/>
    </row>
    <row r="146" spans="1:9" s="5" customFormat="1" ht="30" customHeight="1" x14ac:dyDescent="0.3">
      <c r="A146" s="71" t="s">
        <v>79</v>
      </c>
      <c r="B146" s="1">
        <f t="shared" si="2"/>
        <v>2.4299999999999997</v>
      </c>
      <c r="C146" s="1">
        <f>2.06+0.22+0.52</f>
        <v>2.8000000000000003</v>
      </c>
      <c r="D146" s="1">
        <f>2.1+0.52+0.22</f>
        <v>2.8400000000000003</v>
      </c>
      <c r="E146" s="1">
        <v>3.17</v>
      </c>
      <c r="F146" s="1">
        <v>2.71</v>
      </c>
      <c r="G146" s="1">
        <v>2.4</v>
      </c>
      <c r="H146" s="1">
        <v>2.7307687143438208</v>
      </c>
      <c r="I146" s="1">
        <v>2.73</v>
      </c>
    </row>
    <row r="147" spans="1:9" s="5" customFormat="1" ht="65.099999999999994" customHeight="1" x14ac:dyDescent="0.3">
      <c r="A147" s="71"/>
      <c r="B147" s="73"/>
      <c r="C147" s="74"/>
      <c r="D147" s="74"/>
      <c r="E147" s="74"/>
      <c r="F147" s="74"/>
      <c r="G147" s="74"/>
      <c r="H147" s="74"/>
      <c r="I147" s="75"/>
    </row>
    <row r="148" spans="1:9" s="5" customFormat="1" ht="30" customHeight="1" x14ac:dyDescent="0.3">
      <c r="A148" s="71" t="s">
        <v>80</v>
      </c>
      <c r="B148" s="1">
        <f t="shared" si="2"/>
        <v>2.4299999999999997</v>
      </c>
      <c r="C148" s="1">
        <f>2.05+0.22+0.52</f>
        <v>2.79</v>
      </c>
      <c r="D148" s="1">
        <f>2.39+0.48+0.22</f>
        <v>3.0900000000000003</v>
      </c>
      <c r="E148" s="1">
        <v>2.7</v>
      </c>
      <c r="F148" s="1">
        <v>2.89</v>
      </c>
      <c r="G148" s="1">
        <v>2.78</v>
      </c>
      <c r="H148" s="1">
        <v>3.7525772771916026</v>
      </c>
      <c r="I148" s="1">
        <v>3.75</v>
      </c>
    </row>
    <row r="149" spans="1:9" s="5" customFormat="1" ht="65.099999999999994" customHeight="1" x14ac:dyDescent="0.3">
      <c r="A149" s="71"/>
      <c r="B149" s="73"/>
      <c r="C149" s="74"/>
      <c r="D149" s="74"/>
      <c r="E149" s="74"/>
      <c r="F149" s="74"/>
      <c r="G149" s="74"/>
      <c r="H149" s="74"/>
      <c r="I149" s="75"/>
    </row>
    <row r="150" spans="1:9" s="5" customFormat="1" ht="30" customHeight="1" x14ac:dyDescent="0.3">
      <c r="A150" s="71" t="s">
        <v>81</v>
      </c>
      <c r="B150" s="1">
        <f t="shared" si="2"/>
        <v>2.4299999999999997</v>
      </c>
      <c r="C150" s="1">
        <f>2.05+0.22+0.52</f>
        <v>2.79</v>
      </c>
      <c r="D150" s="1">
        <f>2.39+0.48+0.22</f>
        <v>3.0900000000000003</v>
      </c>
      <c r="E150" s="1">
        <v>3.42</v>
      </c>
      <c r="F150" s="1">
        <v>3.07</v>
      </c>
      <c r="G150" s="1">
        <v>2.72</v>
      </c>
      <c r="H150" s="1">
        <v>3.4342813486104031</v>
      </c>
      <c r="I150" s="1">
        <v>3.43</v>
      </c>
    </row>
    <row r="151" spans="1:9" s="5" customFormat="1" ht="65.099999999999994" customHeight="1" x14ac:dyDescent="0.3">
      <c r="A151" s="71"/>
      <c r="B151" s="73"/>
      <c r="C151" s="74"/>
      <c r="D151" s="74"/>
      <c r="E151" s="74"/>
      <c r="F151" s="74"/>
      <c r="G151" s="74"/>
      <c r="H151" s="74"/>
      <c r="I151" s="75"/>
    </row>
    <row r="152" spans="1:9" s="5" customFormat="1" ht="30" customHeight="1" x14ac:dyDescent="0.3">
      <c r="A152" s="71" t="s">
        <v>82</v>
      </c>
      <c r="B152" s="1">
        <f t="shared" si="2"/>
        <v>2.4299999999999997</v>
      </c>
      <c r="C152" s="1">
        <f>2.1+0.22+0.52</f>
        <v>2.8400000000000003</v>
      </c>
      <c r="D152" s="1">
        <f>2.33+0.48+0.22</f>
        <v>3.0300000000000002</v>
      </c>
      <c r="E152" s="1">
        <v>2.99</v>
      </c>
      <c r="F152" s="1">
        <v>2.37</v>
      </c>
      <c r="G152" s="1">
        <v>2.37</v>
      </c>
      <c r="H152" s="1">
        <v>3.3184656462745541</v>
      </c>
      <c r="I152" s="1">
        <v>3.32</v>
      </c>
    </row>
    <row r="153" spans="1:9" s="5" customFormat="1" ht="65.099999999999994" customHeight="1" x14ac:dyDescent="0.3">
      <c r="A153" s="71"/>
      <c r="B153" s="73"/>
      <c r="C153" s="74"/>
      <c r="D153" s="74"/>
      <c r="E153" s="74"/>
      <c r="F153" s="74"/>
      <c r="G153" s="74"/>
      <c r="H153" s="74"/>
      <c r="I153" s="75"/>
    </row>
    <row r="154" spans="1:9" s="5" customFormat="1" ht="30" customHeight="1" x14ac:dyDescent="0.3">
      <c r="A154" s="71" t="s">
        <v>83</v>
      </c>
      <c r="B154" s="1">
        <f t="shared" si="2"/>
        <v>2.4299999999999997</v>
      </c>
      <c r="C154" s="1">
        <f>2.09+0.22+0.52</f>
        <v>2.83</v>
      </c>
      <c r="D154" s="1">
        <f>2.39+0.48+0.22</f>
        <v>3.0900000000000003</v>
      </c>
      <c r="E154" s="1">
        <v>2.63</v>
      </c>
      <c r="F154" s="1">
        <v>2.74</v>
      </c>
      <c r="G154" s="1">
        <v>2.74</v>
      </c>
      <c r="H154" s="1">
        <v>3.4022444229359063</v>
      </c>
      <c r="I154" s="1">
        <v>2.96</v>
      </c>
    </row>
    <row r="155" spans="1:9" s="5" customFormat="1" ht="65.099999999999994" customHeight="1" x14ac:dyDescent="0.3">
      <c r="A155" s="71"/>
      <c r="B155" s="73"/>
      <c r="C155" s="74"/>
      <c r="D155" s="74"/>
      <c r="E155" s="74"/>
      <c r="F155" s="74"/>
      <c r="G155" s="74"/>
      <c r="H155" s="74"/>
      <c r="I155" s="75"/>
    </row>
    <row r="156" spans="1:9" s="5" customFormat="1" ht="30" customHeight="1" x14ac:dyDescent="0.3">
      <c r="A156" s="71" t="s">
        <v>84</v>
      </c>
      <c r="B156" s="1">
        <f t="shared" si="2"/>
        <v>2.4299999999999997</v>
      </c>
      <c r="C156" s="1">
        <f>2.05+0.22+0.52</f>
        <v>2.79</v>
      </c>
      <c r="D156" s="1">
        <f>2.38+0.49+0.22</f>
        <v>3.0900000000000003</v>
      </c>
      <c r="E156" s="1">
        <v>4.1900000000000004</v>
      </c>
      <c r="F156" s="1">
        <v>3.84</v>
      </c>
      <c r="G156" s="1">
        <v>3.38</v>
      </c>
      <c r="H156" s="1">
        <v>2.9483138682171171</v>
      </c>
      <c r="I156" s="1">
        <v>3.31</v>
      </c>
    </row>
    <row r="157" spans="1:9" s="5" customFormat="1" ht="65.099999999999994" customHeight="1" x14ac:dyDescent="0.3">
      <c r="A157" s="71"/>
      <c r="B157" s="73"/>
      <c r="C157" s="74"/>
      <c r="D157" s="74"/>
      <c r="E157" s="74"/>
      <c r="F157" s="74"/>
      <c r="G157" s="74"/>
      <c r="H157" s="74"/>
      <c r="I157" s="75"/>
    </row>
    <row r="158" spans="1:9" s="5" customFormat="1" ht="30" customHeight="1" x14ac:dyDescent="0.3">
      <c r="A158" s="71" t="s">
        <v>85</v>
      </c>
      <c r="B158" s="1">
        <f>1.7+0.52</f>
        <v>2.2199999999999998</v>
      </c>
      <c r="C158" s="1">
        <f>2.06+0.52</f>
        <v>2.58</v>
      </c>
      <c r="D158" s="1">
        <f>2.39+0.49</f>
        <v>2.88</v>
      </c>
      <c r="E158" s="1">
        <v>4.58</v>
      </c>
      <c r="F158" s="1">
        <v>4.03</v>
      </c>
      <c r="G158" s="1">
        <v>3.93</v>
      </c>
      <c r="H158" s="1">
        <v>3.93</v>
      </c>
      <c r="I158" s="1">
        <v>3.93</v>
      </c>
    </row>
    <row r="159" spans="1:9" s="5" customFormat="1" ht="65.099999999999994" customHeight="1" x14ac:dyDescent="0.3">
      <c r="A159" s="71"/>
      <c r="B159" s="73"/>
      <c r="C159" s="74"/>
      <c r="D159" s="74"/>
      <c r="E159" s="74"/>
      <c r="F159" s="74"/>
      <c r="G159" s="74"/>
      <c r="H159" s="74"/>
      <c r="I159" s="75"/>
    </row>
    <row r="160" spans="1:9" s="5" customFormat="1" ht="30" customHeight="1" x14ac:dyDescent="0.3">
      <c r="A160" s="71" t="s">
        <v>86</v>
      </c>
      <c r="B160" s="1">
        <f>1.7+0.52+0.21</f>
        <v>2.4299999999999997</v>
      </c>
      <c r="C160" s="1">
        <f>2.05+0.22+0.52</f>
        <v>2.79</v>
      </c>
      <c r="D160" s="1">
        <f>2.38+0.49+0.22</f>
        <v>3.0900000000000003</v>
      </c>
      <c r="E160" s="1">
        <v>3.19</v>
      </c>
      <c r="F160" s="1">
        <v>2.95</v>
      </c>
      <c r="G160" s="1">
        <v>2.5099999999999998</v>
      </c>
      <c r="H160" s="1">
        <v>3.7002449949623828</v>
      </c>
      <c r="I160" s="1">
        <v>3.7</v>
      </c>
    </row>
    <row r="161" spans="1:9" s="5" customFormat="1" ht="65.099999999999994" customHeight="1" x14ac:dyDescent="0.3">
      <c r="A161" s="71"/>
      <c r="B161" s="73"/>
      <c r="C161" s="74"/>
      <c r="D161" s="74"/>
      <c r="E161" s="74"/>
      <c r="F161" s="74"/>
      <c r="G161" s="74"/>
      <c r="H161" s="74"/>
      <c r="I161" s="75"/>
    </row>
    <row r="162" spans="1:9" s="5" customFormat="1" ht="30" customHeight="1" x14ac:dyDescent="0.3">
      <c r="A162" s="71" t="s">
        <v>87</v>
      </c>
      <c r="B162" s="1">
        <f>1.7+0.52+0.21</f>
        <v>2.4299999999999997</v>
      </c>
      <c r="C162" s="1">
        <f>2.05+0.22+0.52</f>
        <v>2.79</v>
      </c>
      <c r="D162" s="1">
        <f>2.38+0.49+0.22</f>
        <v>3.0900000000000003</v>
      </c>
      <c r="E162" s="1">
        <v>3.33</v>
      </c>
      <c r="F162" s="1">
        <v>3.24</v>
      </c>
      <c r="G162" s="1">
        <v>3.31</v>
      </c>
      <c r="H162" s="1">
        <v>3.9726820325096641</v>
      </c>
      <c r="I162" s="1">
        <v>3.97</v>
      </c>
    </row>
    <row r="163" spans="1:9" s="5" customFormat="1" ht="65.099999999999994" customHeight="1" x14ac:dyDescent="0.3">
      <c r="A163" s="71"/>
      <c r="B163" s="73"/>
      <c r="C163" s="74"/>
      <c r="D163" s="74"/>
      <c r="E163" s="74"/>
      <c r="F163" s="74"/>
      <c r="G163" s="74"/>
      <c r="H163" s="74"/>
      <c r="I163" s="75"/>
    </row>
    <row r="164" spans="1:9" s="5" customFormat="1" ht="30" customHeight="1" x14ac:dyDescent="0.3">
      <c r="A164" s="71" t="s">
        <v>88</v>
      </c>
      <c r="B164" s="1">
        <f>1.7+0.52+0.21+0.2</f>
        <v>2.63</v>
      </c>
      <c r="C164" s="1">
        <f>2.03+0.22+0.52+0.16</f>
        <v>2.93</v>
      </c>
      <c r="D164" s="1">
        <f>2.03+0.52+0.22+0.16</f>
        <v>2.93</v>
      </c>
      <c r="E164" s="1">
        <v>2.88</v>
      </c>
      <c r="F164" s="1">
        <v>2.88</v>
      </c>
      <c r="G164" s="1">
        <v>2.99</v>
      </c>
      <c r="H164" s="1">
        <v>3.7183783057572377</v>
      </c>
      <c r="I164" s="1">
        <v>3.72</v>
      </c>
    </row>
    <row r="165" spans="1:9" s="5" customFormat="1" ht="65.099999999999994" customHeight="1" x14ac:dyDescent="0.3">
      <c r="A165" s="71"/>
      <c r="B165" s="73"/>
      <c r="C165" s="74"/>
      <c r="D165" s="74"/>
      <c r="E165" s="74"/>
      <c r="F165" s="74"/>
      <c r="G165" s="74"/>
      <c r="H165" s="74"/>
      <c r="I165" s="75"/>
    </row>
    <row r="166" spans="1:9" s="5" customFormat="1" ht="30" customHeight="1" x14ac:dyDescent="0.3">
      <c r="A166" s="71" t="s">
        <v>89</v>
      </c>
      <c r="B166" s="1">
        <f>1.7+0.52+0.21+0.2</f>
        <v>2.63</v>
      </c>
      <c r="C166" s="1">
        <f>2.06+0.22+0.52+0.16</f>
        <v>2.9600000000000004</v>
      </c>
      <c r="D166" s="1">
        <f>2.01+0.52+0.22+0.16</f>
        <v>2.91</v>
      </c>
      <c r="E166" s="1">
        <v>2.83</v>
      </c>
      <c r="F166" s="1">
        <v>2.8</v>
      </c>
      <c r="G166" s="1">
        <v>3.01</v>
      </c>
      <c r="H166" s="1">
        <v>3.6564285723794492</v>
      </c>
      <c r="I166" s="1">
        <v>3.23</v>
      </c>
    </row>
    <row r="167" spans="1:9" s="5" customFormat="1" ht="65.099999999999994" customHeight="1" x14ac:dyDescent="0.3">
      <c r="A167" s="71"/>
      <c r="B167" s="73"/>
      <c r="C167" s="74"/>
      <c r="D167" s="74"/>
      <c r="E167" s="74"/>
      <c r="F167" s="74"/>
      <c r="G167" s="74"/>
      <c r="H167" s="74"/>
      <c r="I167" s="75"/>
    </row>
    <row r="168" spans="1:9" s="5" customFormat="1" ht="30" customHeight="1" x14ac:dyDescent="0.3">
      <c r="A168" s="71" t="s">
        <v>90</v>
      </c>
      <c r="B168" s="1">
        <f>1.7+0.52+0.21+0.2</f>
        <v>2.63</v>
      </c>
      <c r="C168" s="1">
        <f>2.04+0.22+0.52+0.13</f>
        <v>2.91</v>
      </c>
      <c r="D168" s="1">
        <f>2.03+0.52+0.22+0.13</f>
        <v>2.9</v>
      </c>
      <c r="E168" s="1">
        <v>2.8</v>
      </c>
      <c r="F168" s="1">
        <v>2.98</v>
      </c>
      <c r="G168" s="1">
        <v>3.1</v>
      </c>
      <c r="H168" s="1">
        <v>3.6694157952243365</v>
      </c>
      <c r="I168" s="1">
        <v>3.67</v>
      </c>
    </row>
    <row r="169" spans="1:9" s="5" customFormat="1" ht="65.099999999999994" customHeight="1" x14ac:dyDescent="0.3">
      <c r="A169" s="71"/>
      <c r="B169" s="73"/>
      <c r="C169" s="74"/>
      <c r="D169" s="74"/>
      <c r="E169" s="74"/>
      <c r="F169" s="74"/>
      <c r="G169" s="74"/>
      <c r="H169" s="74"/>
      <c r="I169" s="75"/>
    </row>
    <row r="170" spans="1:9" s="5" customFormat="1" ht="30" customHeight="1" x14ac:dyDescent="0.3">
      <c r="A170" s="71" t="s">
        <v>91</v>
      </c>
      <c r="B170" s="1">
        <f>1.7+0.52+0.21+0.2</f>
        <v>2.63</v>
      </c>
      <c r="C170" s="1">
        <f>2.04+0.22+0.52+0.17</f>
        <v>2.95</v>
      </c>
      <c r="D170" s="1">
        <f>2.18+0.52+0.22+0.17</f>
        <v>3.0900000000000003</v>
      </c>
      <c r="E170" s="1">
        <v>2.98</v>
      </c>
      <c r="F170" s="1">
        <v>2.97</v>
      </c>
      <c r="G170" s="1">
        <v>2.82</v>
      </c>
      <c r="H170" s="1">
        <v>3.4279980743797944</v>
      </c>
      <c r="I170" s="1">
        <v>3.43</v>
      </c>
    </row>
    <row r="171" spans="1:9" s="5" customFormat="1" ht="65.099999999999994" customHeight="1" x14ac:dyDescent="0.3">
      <c r="A171" s="71"/>
      <c r="B171" s="73"/>
      <c r="C171" s="74"/>
      <c r="D171" s="74"/>
      <c r="E171" s="74"/>
      <c r="F171" s="74"/>
      <c r="G171" s="74"/>
      <c r="H171" s="74"/>
      <c r="I171" s="75"/>
    </row>
    <row r="172" spans="1:9" s="5" customFormat="1" ht="30" customHeight="1" x14ac:dyDescent="0.3">
      <c r="A172" s="71" t="s">
        <v>92</v>
      </c>
      <c r="B172" s="1">
        <f>1.7+0.52+0.21+0.2</f>
        <v>2.63</v>
      </c>
      <c r="C172" s="1">
        <f>2.05+0.22+0.52+0.14</f>
        <v>2.93</v>
      </c>
      <c r="D172" s="1">
        <f>1.98+0.52+0.22+0.14</f>
        <v>2.8600000000000003</v>
      </c>
      <c r="E172" s="1">
        <v>2.85</v>
      </c>
      <c r="F172" s="1">
        <v>2.78</v>
      </c>
      <c r="G172" s="1">
        <v>2.89</v>
      </c>
      <c r="H172" s="1">
        <v>3.4517310666755359</v>
      </c>
      <c r="I172" s="1">
        <v>2.93</v>
      </c>
    </row>
    <row r="173" spans="1:9" s="5" customFormat="1" ht="65.099999999999994" customHeight="1" x14ac:dyDescent="0.3">
      <c r="A173" s="71"/>
      <c r="B173" s="73"/>
      <c r="C173" s="74"/>
      <c r="D173" s="74"/>
      <c r="E173" s="74"/>
      <c r="F173" s="74"/>
      <c r="G173" s="74"/>
      <c r="H173" s="74"/>
      <c r="I173" s="75"/>
    </row>
    <row r="174" spans="1:9" s="5" customFormat="1" ht="30" customHeight="1" x14ac:dyDescent="0.3">
      <c r="A174" s="71" t="s">
        <v>93</v>
      </c>
      <c r="B174" s="1">
        <f>1.72+0.18+0.47</f>
        <v>2.37</v>
      </c>
      <c r="C174" s="1">
        <f>2.11+0.19+0.44</f>
        <v>2.7399999999999998</v>
      </c>
      <c r="D174" s="1">
        <f>2.18+0.44+0.19</f>
        <v>2.81</v>
      </c>
      <c r="E174" s="1">
        <v>2.4300000000000002</v>
      </c>
      <c r="F174" s="1">
        <v>2.54</v>
      </c>
      <c r="G174" s="1">
        <v>2.79</v>
      </c>
      <c r="H174" s="1">
        <v>3.6917316595560203</v>
      </c>
      <c r="I174" s="1">
        <v>3.69</v>
      </c>
    </row>
    <row r="175" spans="1:9" s="5" customFormat="1" ht="65.099999999999994" customHeight="1" x14ac:dyDescent="0.3">
      <c r="A175" s="71"/>
      <c r="B175" s="73"/>
      <c r="C175" s="74"/>
      <c r="D175" s="74"/>
      <c r="E175" s="74"/>
      <c r="F175" s="74"/>
      <c r="G175" s="74"/>
      <c r="H175" s="74"/>
      <c r="I175" s="75"/>
    </row>
    <row r="176" spans="1:9" s="5" customFormat="1" ht="30" customHeight="1" x14ac:dyDescent="0.3">
      <c r="A176" s="71" t="s">
        <v>94</v>
      </c>
      <c r="B176" s="1">
        <f>1.72+0.18+0.47</f>
        <v>2.37</v>
      </c>
      <c r="C176" s="1">
        <f>2.11+0.19+0.44</f>
        <v>2.7399999999999998</v>
      </c>
      <c r="D176" s="1">
        <f>1.97+0.39+0.19</f>
        <v>2.5499999999999998</v>
      </c>
      <c r="E176" s="1">
        <v>2.02</v>
      </c>
      <c r="F176" s="1">
        <v>2.13</v>
      </c>
      <c r="G176" s="1">
        <v>2.67</v>
      </c>
      <c r="H176" s="1">
        <v>3.4901095040451486</v>
      </c>
      <c r="I176" s="1">
        <v>2.86</v>
      </c>
    </row>
    <row r="177" spans="1:9" s="5" customFormat="1" ht="65.099999999999994" customHeight="1" x14ac:dyDescent="0.3">
      <c r="A177" s="71"/>
      <c r="B177" s="73"/>
      <c r="C177" s="74"/>
      <c r="D177" s="74"/>
      <c r="E177" s="74"/>
      <c r="F177" s="74"/>
      <c r="G177" s="74"/>
      <c r="H177" s="74"/>
      <c r="I177" s="75"/>
    </row>
    <row r="178" spans="1:9" s="5" customFormat="1" ht="30" customHeight="1" x14ac:dyDescent="0.3">
      <c r="A178" s="71" t="s">
        <v>95</v>
      </c>
      <c r="B178" s="1">
        <f>1.72+0.18+0.47</f>
        <v>2.37</v>
      </c>
      <c r="C178" s="1">
        <f>2.11+0.19+0.44</f>
        <v>2.7399999999999998</v>
      </c>
      <c r="D178" s="1">
        <f>2.18+0.44+0.19</f>
        <v>2.81</v>
      </c>
      <c r="E178" s="1">
        <v>2.5</v>
      </c>
      <c r="F178" s="1">
        <v>2.39</v>
      </c>
      <c r="G178" s="1">
        <v>2.83</v>
      </c>
      <c r="H178" s="1">
        <v>3.7954160947274143</v>
      </c>
      <c r="I178" s="1">
        <v>3.8</v>
      </c>
    </row>
    <row r="179" spans="1:9" s="5" customFormat="1" ht="65.099999999999994" customHeight="1" x14ac:dyDescent="0.3">
      <c r="A179" s="71"/>
      <c r="B179" s="73"/>
      <c r="C179" s="74"/>
      <c r="D179" s="74"/>
      <c r="E179" s="74"/>
      <c r="F179" s="74"/>
      <c r="G179" s="74"/>
      <c r="H179" s="74"/>
      <c r="I179" s="75"/>
    </row>
    <row r="180" spans="1:9" s="5" customFormat="1" ht="30" customHeight="1" x14ac:dyDescent="0.3">
      <c r="A180" s="71" t="s">
        <v>96</v>
      </c>
      <c r="B180" s="1">
        <f>1.72+0.18+0.47+0.23</f>
        <v>2.6</v>
      </c>
      <c r="C180" s="1">
        <f>2.1+0.19+0.44+0.2</f>
        <v>2.93</v>
      </c>
      <c r="D180" s="1">
        <f>2.1+0.44+0.19+0.2</f>
        <v>2.93</v>
      </c>
      <c r="E180" s="1">
        <v>2.23</v>
      </c>
      <c r="F180" s="1">
        <v>2.5299999999999998</v>
      </c>
      <c r="G180" s="1">
        <v>2.4700000000000002</v>
      </c>
      <c r="H180" s="1">
        <v>3.4507327570162087</v>
      </c>
      <c r="I180" s="1">
        <v>3.45</v>
      </c>
    </row>
    <row r="181" spans="1:9" s="5" customFormat="1" ht="65.099999999999994" customHeight="1" x14ac:dyDescent="0.3">
      <c r="A181" s="71"/>
      <c r="B181" s="73"/>
      <c r="C181" s="74"/>
      <c r="D181" s="74"/>
      <c r="E181" s="74"/>
      <c r="F181" s="74"/>
      <c r="G181" s="74"/>
      <c r="H181" s="74"/>
      <c r="I181" s="75"/>
    </row>
    <row r="182" spans="1:9" s="5" customFormat="1" ht="30" customHeight="1" x14ac:dyDescent="0.3">
      <c r="A182" s="71" t="s">
        <v>97</v>
      </c>
      <c r="B182" s="1">
        <f>1.72+0.18+0.47</f>
        <v>2.37</v>
      </c>
      <c r="C182" s="1">
        <f>2.11+0.19+0.44</f>
        <v>2.7399999999999998</v>
      </c>
      <c r="D182" s="1">
        <f>2.13+0.44+0.19</f>
        <v>2.76</v>
      </c>
      <c r="E182" s="1">
        <v>2.06</v>
      </c>
      <c r="F182" s="1">
        <v>2.34</v>
      </c>
      <c r="G182" s="1">
        <v>2.76</v>
      </c>
      <c r="H182" s="1">
        <v>3.8565347860896217</v>
      </c>
      <c r="I182" s="1">
        <v>3.32</v>
      </c>
    </row>
    <row r="183" spans="1:9" s="5" customFormat="1" ht="65.099999999999994" customHeight="1" x14ac:dyDescent="0.3">
      <c r="A183" s="71"/>
      <c r="B183" s="73"/>
      <c r="C183" s="74"/>
      <c r="D183" s="74"/>
      <c r="E183" s="74"/>
      <c r="F183" s="74"/>
      <c r="G183" s="74"/>
      <c r="H183" s="74"/>
      <c r="I183" s="75"/>
    </row>
    <row r="184" spans="1:9" s="5" customFormat="1" ht="30" customHeight="1" x14ac:dyDescent="0.3">
      <c r="A184" s="71" t="s">
        <v>98</v>
      </c>
      <c r="B184" s="1">
        <f>1.72+0.18+0.47</f>
        <v>2.37</v>
      </c>
      <c r="C184" s="1">
        <f>2.06+0.19+0.44</f>
        <v>2.69</v>
      </c>
      <c r="D184" s="1">
        <f>1.99+0.44+0.19</f>
        <v>2.62</v>
      </c>
      <c r="E184" s="1">
        <v>2.17</v>
      </c>
      <c r="F184" s="1">
        <v>2.17</v>
      </c>
      <c r="G184" s="1">
        <v>2.59</v>
      </c>
      <c r="H184" s="1">
        <v>3.05455022137716</v>
      </c>
      <c r="I184" s="1">
        <v>2.89</v>
      </c>
    </row>
    <row r="185" spans="1:9" s="5" customFormat="1" ht="65.099999999999994" customHeight="1" x14ac:dyDescent="0.3">
      <c r="A185" s="71"/>
      <c r="B185" s="73"/>
      <c r="C185" s="74"/>
      <c r="D185" s="74"/>
      <c r="E185" s="74"/>
      <c r="F185" s="74"/>
      <c r="G185" s="74"/>
      <c r="H185" s="74"/>
      <c r="I185" s="75"/>
    </row>
    <row r="186" spans="1:9" s="5" customFormat="1" ht="30" customHeight="1" x14ac:dyDescent="0.3">
      <c r="A186" s="71" t="s">
        <v>99</v>
      </c>
      <c r="B186" s="1">
        <f>1.72+0.18+0.47+0.23</f>
        <v>2.6</v>
      </c>
      <c r="C186" s="1">
        <f>2.13+0.19+0.44+0.21</f>
        <v>2.9699999999999998</v>
      </c>
      <c r="D186" s="1">
        <f>1.99+0.44+0.19+0.21</f>
        <v>2.83</v>
      </c>
      <c r="E186" s="1">
        <v>2.27</v>
      </c>
      <c r="F186" s="1">
        <v>2.2200000000000002</v>
      </c>
      <c r="G186" s="1">
        <v>2.69</v>
      </c>
      <c r="H186" s="1">
        <v>3.7411302654506082</v>
      </c>
      <c r="I186" s="1">
        <v>3.35</v>
      </c>
    </row>
    <row r="187" spans="1:9" s="5" customFormat="1" ht="65.099999999999994" customHeight="1" x14ac:dyDescent="0.3">
      <c r="A187" s="71"/>
      <c r="B187" s="73"/>
      <c r="C187" s="74"/>
      <c r="D187" s="74"/>
      <c r="E187" s="74"/>
      <c r="F187" s="74"/>
      <c r="G187" s="74"/>
      <c r="H187" s="74"/>
      <c r="I187" s="75"/>
    </row>
    <row r="188" spans="1:9" s="5" customFormat="1" ht="30" customHeight="1" x14ac:dyDescent="0.3">
      <c r="A188" s="71" t="s">
        <v>100</v>
      </c>
      <c r="B188" s="1">
        <f>1.72+0.74</f>
        <v>2.46</v>
      </c>
      <c r="C188" s="1">
        <f>2.39+0.44</f>
        <v>2.83</v>
      </c>
      <c r="D188" s="1">
        <f>2.47+0.66</f>
        <v>3.1300000000000003</v>
      </c>
      <c r="E188" s="1">
        <v>3.77</v>
      </c>
      <c r="F188" s="1">
        <v>3.48</v>
      </c>
      <c r="G188" s="1">
        <v>3.92</v>
      </c>
      <c r="H188" s="1">
        <v>4.0527435931407965</v>
      </c>
      <c r="I188" s="1">
        <v>4.05</v>
      </c>
    </row>
    <row r="189" spans="1:9" s="5" customFormat="1" ht="65.099999999999994" customHeight="1" x14ac:dyDescent="0.3">
      <c r="A189" s="71"/>
      <c r="B189" s="73"/>
      <c r="C189" s="74"/>
      <c r="D189" s="74"/>
      <c r="E189" s="74"/>
      <c r="F189" s="74"/>
      <c r="G189" s="74"/>
      <c r="H189" s="74"/>
      <c r="I189" s="75"/>
    </row>
    <row r="190" spans="1:9" s="5" customFormat="1" ht="30" customHeight="1" x14ac:dyDescent="0.3">
      <c r="A190" s="71" t="s">
        <v>101</v>
      </c>
      <c r="B190" s="1">
        <f t="shared" ref="B190:B202" si="3">1.72+0.18+0.47</f>
        <v>2.37</v>
      </c>
      <c r="C190" s="1">
        <f>2.11+0.19+0.44</f>
        <v>2.7399999999999998</v>
      </c>
      <c r="D190" s="1">
        <f>2.27+0.44+0.19</f>
        <v>2.9</v>
      </c>
      <c r="E190" s="1">
        <v>1.91</v>
      </c>
      <c r="F190" s="1">
        <v>2.33</v>
      </c>
      <c r="G190" s="1">
        <v>2.61</v>
      </c>
      <c r="H190" s="1">
        <v>3.5851099242850593</v>
      </c>
      <c r="I190" s="1">
        <v>3.28</v>
      </c>
    </row>
    <row r="191" spans="1:9" s="5" customFormat="1" ht="65.099999999999994" customHeight="1" x14ac:dyDescent="0.3">
      <c r="A191" s="71"/>
      <c r="B191" s="73"/>
      <c r="C191" s="74"/>
      <c r="D191" s="74"/>
      <c r="E191" s="74"/>
      <c r="F191" s="74"/>
      <c r="G191" s="74"/>
      <c r="H191" s="74"/>
      <c r="I191" s="75"/>
    </row>
    <row r="192" spans="1:9" s="5" customFormat="1" ht="30" customHeight="1" x14ac:dyDescent="0.3">
      <c r="A192" s="71" t="s">
        <v>102</v>
      </c>
      <c r="B192" s="1">
        <f>1.72+0.18+0.47+0.23</f>
        <v>2.6</v>
      </c>
      <c r="C192" s="1">
        <f>2.08+0.19+0.44+0.2</f>
        <v>2.91</v>
      </c>
      <c r="D192" s="1">
        <f>2.08+0.44+0.19+0.2</f>
        <v>2.91</v>
      </c>
      <c r="E192" s="1">
        <v>2.62</v>
      </c>
      <c r="F192" s="1">
        <v>2.64</v>
      </c>
      <c r="G192" s="1">
        <v>2.48</v>
      </c>
      <c r="H192" s="1">
        <v>3.2225831480502438</v>
      </c>
      <c r="I192" s="1">
        <v>3.16</v>
      </c>
    </row>
    <row r="193" spans="1:9" s="5" customFormat="1" ht="65.099999999999994" customHeight="1" x14ac:dyDescent="0.3">
      <c r="A193" s="71"/>
      <c r="B193" s="73"/>
      <c r="C193" s="74"/>
      <c r="D193" s="74"/>
      <c r="E193" s="74"/>
      <c r="F193" s="74"/>
      <c r="G193" s="74"/>
      <c r="H193" s="74"/>
      <c r="I193" s="75"/>
    </row>
    <row r="194" spans="1:9" s="5" customFormat="1" ht="30" customHeight="1" x14ac:dyDescent="0.3">
      <c r="A194" s="71" t="s">
        <v>103</v>
      </c>
      <c r="B194" s="1">
        <f t="shared" si="3"/>
        <v>2.37</v>
      </c>
      <c r="C194" s="1">
        <f>2.1+0.19+0.44</f>
        <v>2.73</v>
      </c>
      <c r="D194" s="1">
        <f>2.4+0.44+0.19</f>
        <v>3.03</v>
      </c>
      <c r="E194" s="1">
        <v>2.98</v>
      </c>
      <c r="F194" s="1">
        <v>2.4500000000000002</v>
      </c>
      <c r="G194" s="1">
        <v>2.91</v>
      </c>
      <c r="H194" s="1">
        <v>3.7779217306770829</v>
      </c>
      <c r="I194" s="1">
        <v>3.78</v>
      </c>
    </row>
    <row r="195" spans="1:9" s="5" customFormat="1" ht="65.099999999999994" customHeight="1" x14ac:dyDescent="0.3">
      <c r="A195" s="71"/>
      <c r="B195" s="73"/>
      <c r="C195" s="74"/>
      <c r="D195" s="74"/>
      <c r="E195" s="74"/>
      <c r="F195" s="74"/>
      <c r="G195" s="74"/>
      <c r="H195" s="74"/>
      <c r="I195" s="75"/>
    </row>
    <row r="196" spans="1:9" s="5" customFormat="1" ht="30" customHeight="1" x14ac:dyDescent="0.3">
      <c r="A196" s="71" t="s">
        <v>104</v>
      </c>
      <c r="B196" s="1">
        <f t="shared" si="3"/>
        <v>2.37</v>
      </c>
      <c r="C196" s="1">
        <f>2.07+0.19+0.44</f>
        <v>2.6999999999999997</v>
      </c>
      <c r="D196" s="1">
        <f>2.05+0.39+0.19</f>
        <v>2.63</v>
      </c>
      <c r="E196" s="1">
        <v>1.67</v>
      </c>
      <c r="F196" s="1">
        <v>1.87</v>
      </c>
      <c r="G196" s="1">
        <v>2.4900000000000002</v>
      </c>
      <c r="H196" s="1">
        <v>3.7515557647718234</v>
      </c>
      <c r="I196" s="1">
        <v>3.37</v>
      </c>
    </row>
    <row r="197" spans="1:9" s="5" customFormat="1" ht="65.099999999999994" customHeight="1" x14ac:dyDescent="0.3">
      <c r="A197" s="71"/>
      <c r="B197" s="73"/>
      <c r="C197" s="74"/>
      <c r="D197" s="74"/>
      <c r="E197" s="74"/>
      <c r="F197" s="74"/>
      <c r="G197" s="74"/>
      <c r="H197" s="74"/>
      <c r="I197" s="75"/>
    </row>
    <row r="198" spans="1:9" s="5" customFormat="1" ht="30" customHeight="1" x14ac:dyDescent="0.3">
      <c r="A198" s="71" t="s">
        <v>105</v>
      </c>
      <c r="B198" s="1">
        <f t="shared" si="3"/>
        <v>2.37</v>
      </c>
      <c r="C198" s="1">
        <f>2.1+0.19+0.44</f>
        <v>2.73</v>
      </c>
      <c r="D198" s="1">
        <f>1.84+0.44+0.19</f>
        <v>2.4700000000000002</v>
      </c>
      <c r="E198" s="1">
        <v>2.29</v>
      </c>
      <c r="F198" s="1">
        <v>2.2000000000000002</v>
      </c>
      <c r="G198" s="1">
        <v>2.64</v>
      </c>
      <c r="H198" s="1">
        <v>3.5128860175310521</v>
      </c>
      <c r="I198" s="1">
        <v>3.51</v>
      </c>
    </row>
    <row r="199" spans="1:9" s="5" customFormat="1" ht="65.099999999999994" customHeight="1" x14ac:dyDescent="0.3">
      <c r="A199" s="71"/>
      <c r="B199" s="73"/>
      <c r="C199" s="74"/>
      <c r="D199" s="74"/>
      <c r="E199" s="74"/>
      <c r="F199" s="74"/>
      <c r="G199" s="74"/>
      <c r="H199" s="74"/>
      <c r="I199" s="75"/>
    </row>
    <row r="200" spans="1:9" s="5" customFormat="1" ht="30" customHeight="1" x14ac:dyDescent="0.3">
      <c r="A200" s="71" t="s">
        <v>106</v>
      </c>
      <c r="B200" s="1">
        <f t="shared" si="3"/>
        <v>2.37</v>
      </c>
      <c r="C200" s="1">
        <f>2.11+0.19+0.44</f>
        <v>2.7399999999999998</v>
      </c>
      <c r="D200" s="1">
        <f>2.11+0.44+0.19</f>
        <v>2.7399999999999998</v>
      </c>
      <c r="E200" s="1">
        <v>2.15</v>
      </c>
      <c r="F200" s="1">
        <v>2.23</v>
      </c>
      <c r="G200" s="1">
        <v>2.67</v>
      </c>
      <c r="H200" s="1">
        <v>3.3158652415597518</v>
      </c>
      <c r="I200" s="1">
        <v>3.32</v>
      </c>
    </row>
    <row r="201" spans="1:9" s="5" customFormat="1" ht="65.099999999999994" customHeight="1" x14ac:dyDescent="0.3">
      <c r="A201" s="71"/>
      <c r="B201" s="73"/>
      <c r="C201" s="74"/>
      <c r="D201" s="74"/>
      <c r="E201" s="74"/>
      <c r="F201" s="74"/>
      <c r="G201" s="74"/>
      <c r="H201" s="74"/>
      <c r="I201" s="75"/>
    </row>
    <row r="202" spans="1:9" s="5" customFormat="1" ht="30" customHeight="1" x14ac:dyDescent="0.3">
      <c r="A202" s="71" t="s">
        <v>107</v>
      </c>
      <c r="B202" s="1">
        <f t="shared" si="3"/>
        <v>2.37</v>
      </c>
      <c r="C202" s="1">
        <f>2.11+0.19+0.44</f>
        <v>2.7399999999999998</v>
      </c>
      <c r="D202" s="1">
        <f>2.13+0.39+0.19</f>
        <v>2.71</v>
      </c>
      <c r="E202" s="1">
        <v>1.91</v>
      </c>
      <c r="F202" s="1">
        <v>2.17</v>
      </c>
      <c r="G202" s="1">
        <v>2.4700000000000002</v>
      </c>
      <c r="H202" s="1">
        <v>3.1783977798866494</v>
      </c>
      <c r="I202" s="1">
        <v>2.89</v>
      </c>
    </row>
    <row r="203" spans="1:9" s="5" customFormat="1" ht="65.099999999999994" customHeight="1" x14ac:dyDescent="0.3">
      <c r="A203" s="71"/>
      <c r="B203" s="73"/>
      <c r="C203" s="74"/>
      <c r="D203" s="74"/>
      <c r="E203" s="74"/>
      <c r="F203" s="74"/>
      <c r="G203" s="74"/>
      <c r="H203" s="74"/>
      <c r="I203" s="75"/>
    </row>
    <row r="204" spans="1:9" s="5" customFormat="1" ht="30" customHeight="1" x14ac:dyDescent="0.3">
      <c r="A204" s="71" t="s">
        <v>108</v>
      </c>
      <c r="B204" s="1">
        <f>1.72+0.18+0.47+0.23</f>
        <v>2.6</v>
      </c>
      <c r="C204" s="1">
        <f>1.85+0.19+0.44+0.2</f>
        <v>2.68</v>
      </c>
      <c r="D204" s="1">
        <f>1.85+0.44+0.19+0.2</f>
        <v>2.68</v>
      </c>
      <c r="E204" s="1">
        <v>1.95</v>
      </c>
      <c r="F204" s="1">
        <v>1.98</v>
      </c>
      <c r="G204" s="1">
        <v>2.35</v>
      </c>
      <c r="H204" s="1">
        <v>2.8083393254737161</v>
      </c>
      <c r="I204" s="1">
        <v>2.11</v>
      </c>
    </row>
    <row r="205" spans="1:9" s="5" customFormat="1" ht="65.099999999999994" customHeight="1" x14ac:dyDescent="0.3">
      <c r="A205" s="71"/>
      <c r="B205" s="73"/>
      <c r="C205" s="74"/>
      <c r="D205" s="74"/>
      <c r="E205" s="74"/>
      <c r="F205" s="74"/>
      <c r="G205" s="74"/>
      <c r="H205" s="74"/>
      <c r="I205" s="75"/>
    </row>
    <row r="206" spans="1:9" s="5" customFormat="1" ht="30" customHeight="1" x14ac:dyDescent="0.3">
      <c r="A206" s="71" t="s">
        <v>109</v>
      </c>
      <c r="B206" s="1">
        <f t="shared" ref="B206:B218" si="4">1.71+0.41+0.17</f>
        <v>2.29</v>
      </c>
      <c r="C206" s="1">
        <f>2.08+0.18+0.39</f>
        <v>2.6500000000000004</v>
      </c>
      <c r="D206" s="1">
        <f>1.74+0.39+0.18</f>
        <v>2.31</v>
      </c>
      <c r="E206" s="1">
        <v>1.74</v>
      </c>
      <c r="F206" s="1">
        <v>1.9</v>
      </c>
      <c r="G206" s="1">
        <v>2.25</v>
      </c>
      <c r="H206" s="1">
        <v>3.1408293781164418</v>
      </c>
      <c r="I206" s="1">
        <v>2.96</v>
      </c>
    </row>
    <row r="207" spans="1:9" s="5" customFormat="1" ht="65.099999999999994" customHeight="1" x14ac:dyDescent="0.3">
      <c r="A207" s="71"/>
      <c r="B207" s="73"/>
      <c r="C207" s="74"/>
      <c r="D207" s="74"/>
      <c r="E207" s="74"/>
      <c r="F207" s="74"/>
      <c r="G207" s="74"/>
      <c r="H207" s="74"/>
      <c r="I207" s="75"/>
    </row>
    <row r="208" spans="1:9" s="5" customFormat="1" ht="30" customHeight="1" x14ac:dyDescent="0.3">
      <c r="A208" s="71" t="s">
        <v>110</v>
      </c>
      <c r="B208" s="1">
        <f t="shared" si="4"/>
        <v>2.29</v>
      </c>
      <c r="C208" s="1">
        <f>2.07+0.18+0.39</f>
        <v>2.64</v>
      </c>
      <c r="D208" s="1">
        <f>2.07+0.39+0.18</f>
        <v>2.64</v>
      </c>
      <c r="E208" s="1">
        <v>1.86</v>
      </c>
      <c r="F208" s="1">
        <v>1.98</v>
      </c>
      <c r="G208" s="1">
        <v>2.29</v>
      </c>
      <c r="H208" s="1">
        <v>3.0645615625592835</v>
      </c>
      <c r="I208" s="1">
        <v>3.06</v>
      </c>
    </row>
    <row r="209" spans="1:9" s="5" customFormat="1" ht="65.099999999999994" customHeight="1" x14ac:dyDescent="0.3">
      <c r="A209" s="71"/>
      <c r="B209" s="73"/>
      <c r="C209" s="74"/>
      <c r="D209" s="74"/>
      <c r="E209" s="74"/>
      <c r="F209" s="74"/>
      <c r="G209" s="74"/>
      <c r="H209" s="74"/>
      <c r="I209" s="75"/>
    </row>
    <row r="210" spans="1:9" s="5" customFormat="1" ht="30" customHeight="1" x14ac:dyDescent="0.3">
      <c r="A210" s="71" t="s">
        <v>111</v>
      </c>
      <c r="B210" s="1">
        <f t="shared" si="4"/>
        <v>2.29</v>
      </c>
      <c r="C210" s="1">
        <f>1.2+0.18+0.39</f>
        <v>1.77</v>
      </c>
      <c r="D210" s="1">
        <f>1.2+0.39+0.18</f>
        <v>1.7699999999999998</v>
      </c>
      <c r="E210" s="1">
        <v>1.73</v>
      </c>
      <c r="F210" s="1">
        <v>1.66</v>
      </c>
      <c r="G210" s="1">
        <v>2.1</v>
      </c>
      <c r="H210" s="1">
        <v>2.2995435535269135</v>
      </c>
      <c r="I210" s="1">
        <v>2.2999999999999998</v>
      </c>
    </row>
    <row r="211" spans="1:9" s="5" customFormat="1" ht="65.099999999999994" customHeight="1" x14ac:dyDescent="0.3">
      <c r="A211" s="71"/>
      <c r="B211" s="73"/>
      <c r="C211" s="74"/>
      <c r="D211" s="74"/>
      <c r="E211" s="74"/>
      <c r="F211" s="74"/>
      <c r="G211" s="74"/>
      <c r="H211" s="74"/>
      <c r="I211" s="75"/>
    </row>
    <row r="212" spans="1:9" s="5" customFormat="1" ht="30" customHeight="1" x14ac:dyDescent="0.3">
      <c r="A212" s="71" t="s">
        <v>112</v>
      </c>
      <c r="B212" s="1">
        <f t="shared" si="4"/>
        <v>2.29</v>
      </c>
      <c r="C212" s="1">
        <f>2.08+0.18+0.39</f>
        <v>2.6500000000000004</v>
      </c>
      <c r="D212" s="1">
        <f>2.39+0.38+0.18</f>
        <v>2.95</v>
      </c>
      <c r="E212" s="1">
        <v>3.34</v>
      </c>
      <c r="F212" s="1">
        <v>3.13</v>
      </c>
      <c r="G212" s="1">
        <v>2.96</v>
      </c>
      <c r="H212" s="1">
        <v>3.3629884209253662</v>
      </c>
      <c r="I212" s="1">
        <v>3.36</v>
      </c>
    </row>
    <row r="213" spans="1:9" s="5" customFormat="1" ht="65.099999999999994" customHeight="1" x14ac:dyDescent="0.3">
      <c r="A213" s="71"/>
      <c r="B213" s="73"/>
      <c r="C213" s="74"/>
      <c r="D213" s="74"/>
      <c r="E213" s="74"/>
      <c r="F213" s="74"/>
      <c r="G213" s="74"/>
      <c r="H213" s="74"/>
      <c r="I213" s="75"/>
    </row>
    <row r="214" spans="1:9" s="5" customFormat="1" ht="30" customHeight="1" x14ac:dyDescent="0.3">
      <c r="A214" s="71" t="s">
        <v>113</v>
      </c>
      <c r="B214" s="1">
        <f t="shared" si="4"/>
        <v>2.29</v>
      </c>
      <c r="C214" s="1">
        <f>2.07+0.18+0.39</f>
        <v>2.64</v>
      </c>
      <c r="D214" s="1">
        <f>2.14+0.4+0.18</f>
        <v>2.72</v>
      </c>
      <c r="E214" s="1">
        <v>2.25</v>
      </c>
      <c r="F214" s="1">
        <v>2.48</v>
      </c>
      <c r="G214" s="1">
        <v>2.1800000000000002</v>
      </c>
      <c r="H214" s="1">
        <v>2.8137270569544128</v>
      </c>
      <c r="I214" s="1">
        <v>2.81</v>
      </c>
    </row>
    <row r="215" spans="1:9" s="5" customFormat="1" ht="65.099999999999994" customHeight="1" x14ac:dyDescent="0.3">
      <c r="A215" s="71"/>
      <c r="B215" s="73"/>
      <c r="C215" s="74"/>
      <c r="D215" s="74"/>
      <c r="E215" s="74"/>
      <c r="F215" s="74"/>
      <c r="G215" s="74"/>
      <c r="H215" s="74"/>
      <c r="I215" s="75"/>
    </row>
    <row r="216" spans="1:9" s="5" customFormat="1" ht="30" customHeight="1" x14ac:dyDescent="0.3">
      <c r="A216" s="71" t="s">
        <v>114</v>
      </c>
      <c r="B216" s="1">
        <f t="shared" si="4"/>
        <v>2.29</v>
      </c>
      <c r="C216" s="1">
        <f>2.09+0.18+0.39</f>
        <v>2.66</v>
      </c>
      <c r="D216" s="1">
        <f>2.13+0.39+0.18</f>
        <v>2.7</v>
      </c>
      <c r="E216" s="1">
        <v>1.95</v>
      </c>
      <c r="F216" s="1">
        <v>2.23</v>
      </c>
      <c r="G216" s="1">
        <v>2.23</v>
      </c>
      <c r="H216" s="1">
        <v>2.9320330025679264</v>
      </c>
      <c r="I216" s="1">
        <v>2.93</v>
      </c>
    </row>
    <row r="217" spans="1:9" s="5" customFormat="1" ht="65.099999999999994" customHeight="1" x14ac:dyDescent="0.3">
      <c r="A217" s="71"/>
      <c r="B217" s="73"/>
      <c r="C217" s="74"/>
      <c r="D217" s="74"/>
      <c r="E217" s="74"/>
      <c r="F217" s="74"/>
      <c r="G217" s="74"/>
      <c r="H217" s="74"/>
      <c r="I217" s="75"/>
    </row>
    <row r="218" spans="1:9" s="5" customFormat="1" ht="30" customHeight="1" x14ac:dyDescent="0.3">
      <c r="A218" s="71" t="s">
        <v>115</v>
      </c>
      <c r="B218" s="1">
        <f t="shared" si="4"/>
        <v>2.29</v>
      </c>
      <c r="C218" s="1">
        <f>1.82+0.18+0.39</f>
        <v>2.39</v>
      </c>
      <c r="D218" s="1">
        <f>1.82+0.39+0.18</f>
        <v>2.39</v>
      </c>
      <c r="E218" s="1">
        <v>1.79</v>
      </c>
      <c r="F218" s="1">
        <v>1.89</v>
      </c>
      <c r="G218" s="1">
        <v>2.16</v>
      </c>
      <c r="H218" s="1">
        <v>2.6977259422031485</v>
      </c>
      <c r="I218" s="1">
        <v>2.61</v>
      </c>
    </row>
    <row r="219" spans="1:9" s="5" customFormat="1" ht="65.099999999999994" customHeight="1" x14ac:dyDescent="0.3">
      <c r="A219" s="71"/>
      <c r="B219" s="73"/>
      <c r="C219" s="74"/>
      <c r="D219" s="74"/>
      <c r="E219" s="74"/>
      <c r="F219" s="74"/>
      <c r="G219" s="74"/>
      <c r="H219" s="74"/>
      <c r="I219" s="75"/>
    </row>
    <row r="220" spans="1:9" s="5" customFormat="1" ht="30" customHeight="1" x14ac:dyDescent="0.3">
      <c r="A220" s="71" t="s">
        <v>116</v>
      </c>
      <c r="B220" s="1">
        <f>1.67+0.41+0.17</f>
        <v>2.25</v>
      </c>
      <c r="C220" s="1">
        <f>1.65+0.18+0.39</f>
        <v>2.2199999999999998</v>
      </c>
      <c r="D220" s="1">
        <f>1.65+0.39+0.18</f>
        <v>2.2200000000000002</v>
      </c>
      <c r="E220" s="1">
        <v>1.72</v>
      </c>
      <c r="F220" s="1">
        <v>1.94</v>
      </c>
      <c r="G220" s="1">
        <v>2.25</v>
      </c>
      <c r="H220" s="1">
        <v>3.3123769549960889</v>
      </c>
      <c r="I220" s="1">
        <v>3.19</v>
      </c>
    </row>
    <row r="221" spans="1:9" s="5" customFormat="1" ht="65.099999999999994" customHeight="1" x14ac:dyDescent="0.3">
      <c r="A221" s="71"/>
      <c r="B221" s="73"/>
      <c r="C221" s="74"/>
      <c r="D221" s="74"/>
      <c r="E221" s="74"/>
      <c r="F221" s="74"/>
      <c r="G221" s="74"/>
      <c r="H221" s="74"/>
      <c r="I221" s="75"/>
    </row>
    <row r="222" spans="1:9" s="5" customFormat="1" ht="30" customHeight="1" x14ac:dyDescent="0.3">
      <c r="A222" s="71" t="s">
        <v>117</v>
      </c>
      <c r="B222" s="1">
        <f>1.71+0.41+0.17+0.27</f>
        <v>2.56</v>
      </c>
      <c r="C222" s="1">
        <f>1.95+0.18+0.39+0.24</f>
        <v>2.76</v>
      </c>
      <c r="D222" s="1">
        <f>1.95+0.39+0.18+0.24</f>
        <v>2.76</v>
      </c>
      <c r="E222" s="1">
        <v>2.0699999999999998</v>
      </c>
      <c r="F222" s="1">
        <v>2.0699999999999998</v>
      </c>
      <c r="G222" s="1">
        <v>2.25</v>
      </c>
      <c r="H222" s="1">
        <v>3.0984554132971542</v>
      </c>
      <c r="I222" s="1">
        <v>3.1</v>
      </c>
    </row>
    <row r="223" spans="1:9" s="5" customFormat="1" ht="65.099999999999994" customHeight="1" x14ac:dyDescent="0.3">
      <c r="A223" s="71"/>
      <c r="B223" s="73"/>
      <c r="C223" s="74"/>
      <c r="D223" s="74"/>
      <c r="E223" s="74"/>
      <c r="F223" s="74"/>
      <c r="G223" s="74"/>
      <c r="H223" s="74"/>
      <c r="I223" s="75"/>
    </row>
    <row r="224" spans="1:9" s="5" customFormat="1" ht="30" customHeight="1" x14ac:dyDescent="0.3">
      <c r="A224" s="71" t="s">
        <v>118</v>
      </c>
      <c r="B224" s="1">
        <f>1.71+0.41+0.17+0.27</f>
        <v>2.56</v>
      </c>
      <c r="C224" s="1">
        <f>2.08+0.18+0.39+0.23</f>
        <v>2.8800000000000003</v>
      </c>
      <c r="D224" s="1">
        <f>2.1+0.39+0.18+0.23</f>
        <v>2.9000000000000004</v>
      </c>
      <c r="E224" s="1">
        <v>2.4500000000000002</v>
      </c>
      <c r="F224" s="1">
        <v>2.63</v>
      </c>
      <c r="G224" s="1">
        <v>2.63</v>
      </c>
      <c r="H224" s="1">
        <v>3.501962091484478</v>
      </c>
      <c r="I224" s="1">
        <v>3.5</v>
      </c>
    </row>
    <row r="225" spans="1:9" s="5" customFormat="1" ht="65.099999999999994" customHeight="1" x14ac:dyDescent="0.3">
      <c r="A225" s="71"/>
      <c r="B225" s="73"/>
      <c r="C225" s="74"/>
      <c r="D225" s="74"/>
      <c r="E225" s="74"/>
      <c r="F225" s="74"/>
      <c r="G225" s="74"/>
      <c r="H225" s="74"/>
      <c r="I225" s="75"/>
    </row>
    <row r="226" spans="1:9" s="5" customFormat="1" ht="30" customHeight="1" x14ac:dyDescent="0.3">
      <c r="A226" s="71" t="s">
        <v>119</v>
      </c>
      <c r="B226" s="1">
        <f>1.71+0.41+0.17+0.27</f>
        <v>2.56</v>
      </c>
      <c r="C226" s="1">
        <f>2.08+0.18+0.39+0.14</f>
        <v>2.7900000000000005</v>
      </c>
      <c r="D226" s="1">
        <f>2.17+0.39+0.18+0.14</f>
        <v>2.8800000000000003</v>
      </c>
      <c r="E226" s="1">
        <v>3.48</v>
      </c>
      <c r="F226" s="1">
        <v>3.41</v>
      </c>
      <c r="G226" s="1">
        <v>2.58</v>
      </c>
      <c r="H226" s="1">
        <v>3.415451093798942</v>
      </c>
      <c r="I226" s="1">
        <v>3.42</v>
      </c>
    </row>
    <row r="227" spans="1:9" s="5" customFormat="1" ht="65.099999999999994" customHeight="1" x14ac:dyDescent="0.3">
      <c r="A227" s="71"/>
      <c r="B227" s="73"/>
      <c r="C227" s="74"/>
      <c r="D227" s="74"/>
      <c r="E227" s="74"/>
      <c r="F227" s="74"/>
      <c r="G227" s="74"/>
      <c r="H227" s="74"/>
      <c r="I227" s="75"/>
    </row>
    <row r="228" spans="1:9" s="5" customFormat="1" ht="30" customHeight="1" x14ac:dyDescent="0.3">
      <c r="A228" s="71" t="s">
        <v>120</v>
      </c>
      <c r="B228" s="1">
        <f>1.71+0.41+0.17+0.27</f>
        <v>2.56</v>
      </c>
      <c r="C228" s="1">
        <f>2.09+0.18+0.39+0.16</f>
        <v>2.8200000000000003</v>
      </c>
      <c r="D228" s="1">
        <f>2.39+0.39+0.18+0.16</f>
        <v>3.1200000000000006</v>
      </c>
      <c r="E228" s="1">
        <v>3.35</v>
      </c>
      <c r="F228" s="1">
        <v>3.3</v>
      </c>
      <c r="G228" s="1">
        <v>2.92</v>
      </c>
      <c r="H228" s="1">
        <v>3.5112905004259725</v>
      </c>
      <c r="I228" s="1">
        <v>4.01</v>
      </c>
    </row>
    <row r="229" spans="1:9" s="5" customFormat="1" ht="65.099999999999994" customHeight="1" x14ac:dyDescent="0.3">
      <c r="A229" s="71"/>
      <c r="B229" s="73"/>
      <c r="C229" s="74"/>
      <c r="D229" s="74"/>
      <c r="E229" s="74"/>
      <c r="F229" s="74"/>
      <c r="G229" s="74"/>
      <c r="H229" s="74"/>
      <c r="I229" s="75"/>
    </row>
    <row r="230" spans="1:9" s="5" customFormat="1" ht="30" customHeight="1" x14ac:dyDescent="0.3">
      <c r="A230" s="71" t="s">
        <v>121</v>
      </c>
      <c r="B230" s="1">
        <f>1.69+0.12+0.58</f>
        <v>2.39</v>
      </c>
      <c r="C230" s="1">
        <f>2.07+0.07+0.6</f>
        <v>2.7399999999999998</v>
      </c>
      <c r="D230" s="1">
        <f>2.25+0.6+0.07</f>
        <v>2.92</v>
      </c>
      <c r="E230" s="1">
        <v>2.97</v>
      </c>
      <c r="F230" s="1">
        <v>2.4</v>
      </c>
      <c r="G230" s="1">
        <v>2.4</v>
      </c>
      <c r="H230" s="1">
        <v>3.4296352349146653</v>
      </c>
      <c r="I230" s="1">
        <v>4.32</v>
      </c>
    </row>
    <row r="231" spans="1:9" s="5" customFormat="1" ht="65.099999999999994" customHeight="1" x14ac:dyDescent="0.3">
      <c r="A231" s="71"/>
      <c r="B231" s="73"/>
      <c r="C231" s="74"/>
      <c r="D231" s="74"/>
      <c r="E231" s="74"/>
      <c r="F231" s="74"/>
      <c r="G231" s="74"/>
      <c r="H231" s="74"/>
      <c r="I231" s="75"/>
    </row>
    <row r="232" spans="1:9" s="5" customFormat="1" ht="30" customHeight="1" x14ac:dyDescent="0.3">
      <c r="A232" s="71" t="s">
        <v>122</v>
      </c>
      <c r="B232" s="1">
        <f>1.69+0.12+0.58</f>
        <v>2.39</v>
      </c>
      <c r="C232" s="1">
        <f>2.07+0.07+0.6</f>
        <v>2.7399999999999998</v>
      </c>
      <c r="D232" s="1">
        <f>2.2+0.6+0.07</f>
        <v>2.87</v>
      </c>
      <c r="E232" s="1">
        <v>2.79</v>
      </c>
      <c r="F232" s="1">
        <v>2.5</v>
      </c>
      <c r="G232" s="1">
        <v>2.9</v>
      </c>
      <c r="H232" s="1">
        <v>3.5649123728417313</v>
      </c>
      <c r="I232" s="1">
        <v>3.56</v>
      </c>
    </row>
    <row r="233" spans="1:9" s="5" customFormat="1" ht="65.099999999999994" customHeight="1" x14ac:dyDescent="0.3">
      <c r="A233" s="71"/>
      <c r="B233" s="73"/>
      <c r="C233" s="74"/>
      <c r="D233" s="74"/>
      <c r="E233" s="74"/>
      <c r="F233" s="74"/>
      <c r="G233" s="74"/>
      <c r="H233" s="74"/>
      <c r="I233" s="75"/>
    </row>
    <row r="234" spans="1:9" s="5" customFormat="1" ht="30" customHeight="1" x14ac:dyDescent="0.3">
      <c r="A234" s="71" t="s">
        <v>123</v>
      </c>
      <c r="B234" s="1">
        <f>1.69+0.12+0.62+0.24</f>
        <v>2.67</v>
      </c>
      <c r="C234" s="1">
        <f>2.13+0.07+0.6+0.2</f>
        <v>3</v>
      </c>
      <c r="D234" s="1">
        <f>2.43+0.6+0.07+0.2</f>
        <v>3.3000000000000003</v>
      </c>
      <c r="E234" s="1">
        <v>2.6</v>
      </c>
      <c r="F234" s="1">
        <v>2.6</v>
      </c>
      <c r="G234" s="1">
        <v>2.86</v>
      </c>
      <c r="H234" s="1">
        <v>4.2154803353926376</v>
      </c>
      <c r="I234" s="1">
        <v>4.01</v>
      </c>
    </row>
    <row r="235" spans="1:9" s="5" customFormat="1" ht="65.099999999999994" customHeight="1" x14ac:dyDescent="0.3">
      <c r="A235" s="71"/>
      <c r="B235" s="73"/>
      <c r="C235" s="74"/>
      <c r="D235" s="74"/>
      <c r="E235" s="74"/>
      <c r="F235" s="74"/>
      <c r="G235" s="74"/>
      <c r="H235" s="74"/>
      <c r="I235" s="75"/>
    </row>
    <row r="236" spans="1:9" s="5" customFormat="1" ht="30" customHeight="1" x14ac:dyDescent="0.3">
      <c r="A236" s="71" t="s">
        <v>124</v>
      </c>
      <c r="B236" s="1">
        <f>1.69+0.12+0.58</f>
        <v>2.39</v>
      </c>
      <c r="C236" s="1">
        <f>2.08+0.07+0.6</f>
        <v>2.75</v>
      </c>
      <c r="D236" s="1">
        <f>2.38+0.6+0.07</f>
        <v>3.05</v>
      </c>
      <c r="E236" s="1">
        <v>3.14</v>
      </c>
      <c r="F236" s="1">
        <v>2.89</v>
      </c>
      <c r="G236" s="1">
        <v>2.8</v>
      </c>
      <c r="H236" s="1">
        <v>3.0316128691582538</v>
      </c>
      <c r="I236" s="1">
        <v>3.03</v>
      </c>
    </row>
    <row r="237" spans="1:9" s="5" customFormat="1" ht="65.099999999999994" customHeight="1" x14ac:dyDescent="0.3">
      <c r="A237" s="71"/>
      <c r="B237" s="73"/>
      <c r="C237" s="74"/>
      <c r="D237" s="74"/>
      <c r="E237" s="74"/>
      <c r="F237" s="74"/>
      <c r="G237" s="74"/>
      <c r="H237" s="74"/>
      <c r="I237" s="75"/>
    </row>
    <row r="239" spans="1:9" s="6" customFormat="1" ht="38.25" customHeight="1" x14ac:dyDescent="0.3">
      <c r="A239" s="76"/>
      <c r="B239" s="76"/>
      <c r="C239" s="76"/>
      <c r="D239" s="76"/>
      <c r="E239" s="76"/>
      <c r="F239" s="76"/>
      <c r="G239" s="76"/>
      <c r="H239" s="76"/>
    </row>
    <row r="240" spans="1:9" s="6" customFormat="1" ht="103.5" customHeight="1" x14ac:dyDescent="0.3">
      <c r="A240" s="76"/>
      <c r="B240" s="76"/>
      <c r="C240" s="76"/>
      <c r="D240" s="76"/>
      <c r="E240" s="76"/>
      <c r="F240" s="76"/>
      <c r="G240" s="76"/>
      <c r="H240" s="76"/>
    </row>
    <row r="241" spans="1:9" ht="89.25" customHeight="1" x14ac:dyDescent="0.3">
      <c r="A241" s="76"/>
      <c r="B241" s="76"/>
      <c r="C241" s="76"/>
      <c r="D241" s="76"/>
      <c r="E241" s="76"/>
      <c r="F241" s="76"/>
      <c r="G241" s="76"/>
      <c r="H241" s="76"/>
    </row>
    <row r="242" spans="1:9" s="6" customFormat="1" x14ac:dyDescent="0.3">
      <c r="B242" s="2"/>
      <c r="C242" s="2"/>
      <c r="D242" s="2"/>
      <c r="E242" s="2"/>
      <c r="F242" s="2"/>
      <c r="G242" s="2"/>
      <c r="H242" s="2"/>
      <c r="I242" s="2"/>
    </row>
    <row r="243" spans="1:9" s="6" customFormat="1" x14ac:dyDescent="0.3">
      <c r="B243" s="2"/>
      <c r="C243" s="2"/>
      <c r="D243" s="2"/>
      <c r="E243" s="2"/>
      <c r="F243" s="2"/>
      <c r="G243" s="2"/>
      <c r="H243" s="2"/>
      <c r="I243" s="2"/>
    </row>
  </sheetData>
  <mergeCells count="238">
    <mergeCell ref="B23:I23"/>
    <mergeCell ref="B25:I25"/>
    <mergeCell ref="B27:I27"/>
    <mergeCell ref="B29:I29"/>
    <mergeCell ref="B31:I31"/>
    <mergeCell ref="B33:I33"/>
    <mergeCell ref="B35:I35"/>
    <mergeCell ref="B37:I37"/>
    <mergeCell ref="B39:I39"/>
    <mergeCell ref="B5:I5"/>
    <mergeCell ref="B7:I7"/>
    <mergeCell ref="B9:I9"/>
    <mergeCell ref="B11:I11"/>
    <mergeCell ref="B13:I13"/>
    <mergeCell ref="B15:I15"/>
    <mergeCell ref="B17:I17"/>
    <mergeCell ref="B19:I19"/>
    <mergeCell ref="B21:I21"/>
    <mergeCell ref="A241:H241"/>
    <mergeCell ref="A239:H239"/>
    <mergeCell ref="A240:H240"/>
    <mergeCell ref="B41:I41"/>
    <mergeCell ref="B43:I43"/>
    <mergeCell ref="B45:I45"/>
    <mergeCell ref="B47:I47"/>
    <mergeCell ref="B49:I49"/>
    <mergeCell ref="B51:I51"/>
    <mergeCell ref="B53:I53"/>
    <mergeCell ref="B55:I55"/>
    <mergeCell ref="B57:I57"/>
    <mergeCell ref="B59:I59"/>
    <mergeCell ref="B61:I61"/>
    <mergeCell ref="B63:I63"/>
    <mergeCell ref="B65:I65"/>
    <mergeCell ref="B67:I67"/>
    <mergeCell ref="B69:I69"/>
    <mergeCell ref="B71:I71"/>
    <mergeCell ref="B73:I73"/>
    <mergeCell ref="B75:I75"/>
    <mergeCell ref="B77:I77"/>
    <mergeCell ref="B79:I79"/>
    <mergeCell ref="B81:I81"/>
    <mergeCell ref="B83:I83"/>
    <mergeCell ref="B85:I85"/>
    <mergeCell ref="B87:I87"/>
    <mergeCell ref="B89:I89"/>
    <mergeCell ref="B91:I91"/>
    <mergeCell ref="B93:I93"/>
    <mergeCell ref="B95:I95"/>
    <mergeCell ref="B97:I97"/>
    <mergeCell ref="B99:I99"/>
    <mergeCell ref="B101:I101"/>
    <mergeCell ref="B103:I103"/>
    <mergeCell ref="B105:I105"/>
    <mergeCell ref="B107:I107"/>
    <mergeCell ref="B109:I109"/>
    <mergeCell ref="B113:I113"/>
    <mergeCell ref="B111:I111"/>
    <mergeCell ref="B115:I115"/>
    <mergeCell ref="B117:I117"/>
    <mergeCell ref="B119:I119"/>
    <mergeCell ref="B121:I121"/>
    <mergeCell ref="B123:I123"/>
    <mergeCell ref="B125:I125"/>
    <mergeCell ref="B127:I127"/>
    <mergeCell ref="B129:I129"/>
    <mergeCell ref="B131:I131"/>
    <mergeCell ref="B133:I133"/>
    <mergeCell ref="B135:I135"/>
    <mergeCell ref="B137:I137"/>
    <mergeCell ref="B139:I139"/>
    <mergeCell ref="B141:I141"/>
    <mergeCell ref="B143:I143"/>
    <mergeCell ref="B145:I145"/>
    <mergeCell ref="B147:I147"/>
    <mergeCell ref="B149:I149"/>
    <mergeCell ref="B151:I151"/>
    <mergeCell ref="B153:I153"/>
    <mergeCell ref="B155:I155"/>
    <mergeCell ref="B157:I157"/>
    <mergeCell ref="B159:I159"/>
    <mergeCell ref="B161:I161"/>
    <mergeCell ref="B163:I163"/>
    <mergeCell ref="B165:I165"/>
    <mergeCell ref="B167:I167"/>
    <mergeCell ref="B169:I169"/>
    <mergeCell ref="B171:I171"/>
    <mergeCell ref="B173:I173"/>
    <mergeCell ref="B175:I175"/>
    <mergeCell ref="B177:I177"/>
    <mergeCell ref="B179:I179"/>
    <mergeCell ref="B181:I181"/>
    <mergeCell ref="B183:I183"/>
    <mergeCell ref="B185:I185"/>
    <mergeCell ref="B187:I187"/>
    <mergeCell ref="B189:I189"/>
    <mergeCell ref="B191:I191"/>
    <mergeCell ref="B193:I193"/>
    <mergeCell ref="B195:I195"/>
    <mergeCell ref="B197:I197"/>
    <mergeCell ref="B199:I199"/>
    <mergeCell ref="B201:I201"/>
    <mergeCell ref="B203:I203"/>
    <mergeCell ref="B205:I205"/>
    <mergeCell ref="B207:I207"/>
    <mergeCell ref="B209:I209"/>
    <mergeCell ref="B211:I211"/>
    <mergeCell ref="B213:I213"/>
    <mergeCell ref="B215:I215"/>
    <mergeCell ref="B217:I217"/>
    <mergeCell ref="B219:I219"/>
    <mergeCell ref="A236:A237"/>
    <mergeCell ref="B221:I221"/>
    <mergeCell ref="B223:I223"/>
    <mergeCell ref="B225:I225"/>
    <mergeCell ref="B227:I227"/>
    <mergeCell ref="B229:I229"/>
    <mergeCell ref="B231:I231"/>
    <mergeCell ref="B233:I233"/>
    <mergeCell ref="B235:I235"/>
    <mergeCell ref="B237:I237"/>
    <mergeCell ref="A212:A213"/>
    <mergeCell ref="A28:A29"/>
    <mergeCell ref="A18:A19"/>
    <mergeCell ref="A20:A21"/>
    <mergeCell ref="A22:A23"/>
    <mergeCell ref="A36:A37"/>
    <mergeCell ref="A38:A39"/>
    <mergeCell ref="A4:A5"/>
    <mergeCell ref="A6:A7"/>
    <mergeCell ref="A8:A9"/>
    <mergeCell ref="A10:A11"/>
    <mergeCell ref="A12:A13"/>
    <mergeCell ref="A14:A15"/>
    <mergeCell ref="A16:A17"/>
    <mergeCell ref="A30:A31"/>
    <mergeCell ref="A24:A25"/>
    <mergeCell ref="A26:A27"/>
    <mergeCell ref="A52:A53"/>
    <mergeCell ref="A42:A43"/>
    <mergeCell ref="A44:A45"/>
    <mergeCell ref="A46:A47"/>
    <mergeCell ref="A60:A61"/>
    <mergeCell ref="A40:A41"/>
    <mergeCell ref="A32:A33"/>
    <mergeCell ref="A34:A35"/>
    <mergeCell ref="A48:A49"/>
    <mergeCell ref="A50:A51"/>
    <mergeCell ref="A72:A73"/>
    <mergeCell ref="A74:A75"/>
    <mergeCell ref="A76:A77"/>
    <mergeCell ref="A66:A67"/>
    <mergeCell ref="A68:A69"/>
    <mergeCell ref="A70:A71"/>
    <mergeCell ref="A62:A63"/>
    <mergeCell ref="A64:A65"/>
    <mergeCell ref="A54:A55"/>
    <mergeCell ref="A56:A57"/>
    <mergeCell ref="A58:A59"/>
    <mergeCell ref="A90:A91"/>
    <mergeCell ref="A92:A93"/>
    <mergeCell ref="A94:A95"/>
    <mergeCell ref="A84:A85"/>
    <mergeCell ref="A86:A87"/>
    <mergeCell ref="A88:A89"/>
    <mergeCell ref="A78:A79"/>
    <mergeCell ref="A80:A81"/>
    <mergeCell ref="A82:A83"/>
    <mergeCell ref="A108:A109"/>
    <mergeCell ref="A110:A111"/>
    <mergeCell ref="A112:A113"/>
    <mergeCell ref="A102:A103"/>
    <mergeCell ref="A104:A105"/>
    <mergeCell ref="A106:A107"/>
    <mergeCell ref="A96:A97"/>
    <mergeCell ref="A98:A99"/>
    <mergeCell ref="A100:A101"/>
    <mergeCell ref="A126:A127"/>
    <mergeCell ref="A128:A129"/>
    <mergeCell ref="A130:A131"/>
    <mergeCell ref="A120:A121"/>
    <mergeCell ref="A122:A123"/>
    <mergeCell ref="A124:A125"/>
    <mergeCell ref="A114:A115"/>
    <mergeCell ref="A116:A117"/>
    <mergeCell ref="A118:A119"/>
    <mergeCell ref="A144:A145"/>
    <mergeCell ref="A146:A147"/>
    <mergeCell ref="A148:A149"/>
    <mergeCell ref="A138:A139"/>
    <mergeCell ref="A140:A141"/>
    <mergeCell ref="A142:A143"/>
    <mergeCell ref="A132:A133"/>
    <mergeCell ref="A134:A135"/>
    <mergeCell ref="A136:A137"/>
    <mergeCell ref="A162:A163"/>
    <mergeCell ref="A164:A165"/>
    <mergeCell ref="A166:A167"/>
    <mergeCell ref="A156:A157"/>
    <mergeCell ref="A158:A159"/>
    <mergeCell ref="A160:A161"/>
    <mergeCell ref="A150:A151"/>
    <mergeCell ref="A152:A153"/>
    <mergeCell ref="A154:A155"/>
    <mergeCell ref="A234:A235"/>
    <mergeCell ref="A198:A199"/>
    <mergeCell ref="A200:A201"/>
    <mergeCell ref="A202:A203"/>
    <mergeCell ref="A192:A193"/>
    <mergeCell ref="A194:A195"/>
    <mergeCell ref="A196:A197"/>
    <mergeCell ref="A186:A187"/>
    <mergeCell ref="A188:A189"/>
    <mergeCell ref="A190:A191"/>
    <mergeCell ref="A1:H1"/>
    <mergeCell ref="A228:A229"/>
    <mergeCell ref="A230:A231"/>
    <mergeCell ref="A232:A233"/>
    <mergeCell ref="A222:A223"/>
    <mergeCell ref="A224:A225"/>
    <mergeCell ref="A226:A227"/>
    <mergeCell ref="A216:A217"/>
    <mergeCell ref="A218:A219"/>
    <mergeCell ref="A220:A221"/>
    <mergeCell ref="A210:A211"/>
    <mergeCell ref="A214:A215"/>
    <mergeCell ref="A204:A205"/>
    <mergeCell ref="A206:A207"/>
    <mergeCell ref="A208:A209"/>
    <mergeCell ref="A180:A181"/>
    <mergeCell ref="A182:A183"/>
    <mergeCell ref="A184:A185"/>
    <mergeCell ref="A174:A175"/>
    <mergeCell ref="A176:A177"/>
    <mergeCell ref="A178:A179"/>
    <mergeCell ref="A168:A169"/>
    <mergeCell ref="A170:A171"/>
    <mergeCell ref="A172:A173"/>
  </mergeCells>
  <pageMargins left="0.51181102362204722" right="0.70866141732283472" top="0.39370078740157483" bottom="0.39370078740157483" header="0.31496062992125984" footer="0.31496062992125984"/>
  <pageSetup paperSize="9" scale="65" fitToWidth="17" fitToHeight="17" orientation="landscape" r:id="rId1"/>
  <legacy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lineWeight="2.25" displayEmptyCellsAs="gap" xr2:uid="{00000000-0003-0000-0000-000074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Eksploatacja!B6:I6</xm:f>
              <xm:sqref>B7</xm:sqref>
            </x14:sparkline>
          </x14:sparklines>
        </x14:sparklineGroup>
        <x14:sparklineGroup lineWeight="2.25" displayEmptyCellsAs="gap" xr2:uid="{00000000-0003-0000-0000-000073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Eksploatacja!B4:I4</xm:f>
              <xm:sqref>B5</xm:sqref>
            </x14:sparkline>
          </x14:sparklines>
        </x14:sparklineGroup>
        <x14:sparklineGroup lineWeight="2.25" displayEmptyCellsAs="gap" xr2:uid="{00000000-0003-0000-0000-000072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Eksploatacja!B18:I18</xm:f>
              <xm:sqref>B19</xm:sqref>
            </x14:sparkline>
          </x14:sparklines>
        </x14:sparklineGroup>
        <x14:sparklineGroup lineWeight="2.25" displayEmptyCellsAs="gap" xr2:uid="{00000000-0003-0000-0000-000071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Eksploatacja!B10:I10</xm:f>
              <xm:sqref>B11</xm:sqref>
            </x14:sparkline>
          </x14:sparklines>
        </x14:sparklineGroup>
        <x14:sparklineGroup lineWeight="2.25" displayEmptyCellsAs="gap" xr2:uid="{00000000-0003-0000-0000-00007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Eksploatacja!B12:I12</xm:f>
              <xm:sqref>B13</xm:sqref>
            </x14:sparkline>
          </x14:sparklines>
        </x14:sparklineGroup>
        <x14:sparklineGroup lineWeight="2.25" displayEmptyCellsAs="gap" xr2:uid="{00000000-0003-0000-0000-00006F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Eksploatacja!B14:I14</xm:f>
              <xm:sqref>B15</xm:sqref>
            </x14:sparkline>
          </x14:sparklines>
        </x14:sparklineGroup>
        <x14:sparklineGroup lineWeight="2.25" displayEmptyCellsAs="gap" xr2:uid="{00000000-0003-0000-0000-00006E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Eksploatacja!B16:I16</xm:f>
              <xm:sqref>B17</xm:sqref>
            </x14:sparkline>
          </x14:sparklines>
        </x14:sparklineGroup>
        <x14:sparklineGroup lineWeight="2.25" displayEmptyCellsAs="gap" xr2:uid="{00000000-0003-0000-0000-00006D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Eksploatacja!B8:I8</xm:f>
              <xm:sqref>B9</xm:sqref>
            </x14:sparkline>
          </x14:sparklines>
        </x14:sparklineGroup>
        <x14:sparklineGroup lineWeight="2.25" displayEmptyCellsAs="gap" xr2:uid="{00000000-0003-0000-0000-00006C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Eksploatacja!B20:I20</xm:f>
              <xm:sqref>B21</xm:sqref>
            </x14:sparkline>
          </x14:sparklines>
        </x14:sparklineGroup>
        <x14:sparklineGroup lineWeight="2.25" displayEmptyCellsAs="gap" xr2:uid="{00000000-0003-0000-0000-00006B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Eksploatacja!B22:I22</xm:f>
              <xm:sqref>B23</xm:sqref>
            </x14:sparkline>
          </x14:sparklines>
        </x14:sparklineGroup>
        <x14:sparklineGroup lineWeight="2.25" displayEmptyCellsAs="gap" xr2:uid="{00000000-0003-0000-0000-00006A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Eksploatacja!B24:I24</xm:f>
              <xm:sqref>B25</xm:sqref>
            </x14:sparkline>
          </x14:sparklines>
        </x14:sparklineGroup>
        <x14:sparklineGroup lineWeight="2.25" displayEmptyCellsAs="gap" xr2:uid="{00000000-0003-0000-0000-000069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Eksploatacja!B26:I26</xm:f>
              <xm:sqref>B27</xm:sqref>
            </x14:sparkline>
          </x14:sparklines>
        </x14:sparklineGroup>
        <x14:sparklineGroup lineWeight="2.25" displayEmptyCellsAs="gap" xr2:uid="{00000000-0003-0000-0000-000068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Eksploatacja!B28:I28</xm:f>
              <xm:sqref>B31</xm:sqref>
            </x14:sparkline>
          </x14:sparklines>
        </x14:sparklineGroup>
        <x14:sparklineGroup lineWeight="2.25" displayEmptyCellsAs="gap" xr2:uid="{00000000-0003-0000-0000-000067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Eksploatacja!B28:I28</xm:f>
              <xm:sqref>B29</xm:sqref>
            </x14:sparkline>
          </x14:sparklines>
        </x14:sparklineGroup>
        <x14:sparklineGroup lineWeight="2.25" displayEmptyCellsAs="gap" xr2:uid="{00000000-0003-0000-0000-000066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Eksploatacja!B32:I32</xm:f>
              <xm:sqref>B33</xm:sqref>
            </x14:sparkline>
          </x14:sparklines>
        </x14:sparklineGroup>
        <x14:sparklineGroup lineWeight="2.25" displayEmptyCellsAs="gap" xr2:uid="{00000000-0003-0000-0000-000065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Eksploatacja!B34:I34</xm:f>
              <xm:sqref>B35</xm:sqref>
            </x14:sparkline>
          </x14:sparklines>
        </x14:sparklineGroup>
        <x14:sparklineGroup lineWeight="2.25" displayEmptyCellsAs="gap" xr2:uid="{00000000-0003-0000-0000-000064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Eksploatacja!B36:I36</xm:f>
              <xm:sqref>B37</xm:sqref>
            </x14:sparkline>
          </x14:sparklines>
        </x14:sparklineGroup>
        <x14:sparklineGroup lineWeight="2.25" displayEmptyCellsAs="gap" xr2:uid="{00000000-0003-0000-0000-000063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Eksploatacja!B38:I38</xm:f>
              <xm:sqref>B39</xm:sqref>
            </x14:sparkline>
          </x14:sparklines>
        </x14:sparklineGroup>
        <x14:sparklineGroup lineWeight="2.25" displayEmptyCellsAs="gap" xr2:uid="{00000000-0003-0000-0000-000062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Eksploatacja!B40:I40</xm:f>
              <xm:sqref>B41</xm:sqref>
            </x14:sparkline>
          </x14:sparklines>
        </x14:sparklineGroup>
        <x14:sparklineGroup lineWeight="2.25" displayEmptyCellsAs="gap" xr2:uid="{00000000-0003-0000-0000-000061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Eksploatacja!B42:I42</xm:f>
              <xm:sqref>B43</xm:sqref>
            </x14:sparkline>
          </x14:sparklines>
        </x14:sparklineGroup>
        <x14:sparklineGroup lineWeight="2.25" displayEmptyCellsAs="gap" xr2:uid="{00000000-0003-0000-0000-00006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Eksploatacja!B44:I44</xm:f>
              <xm:sqref>B45</xm:sqref>
            </x14:sparkline>
          </x14:sparklines>
        </x14:sparklineGroup>
        <x14:sparklineGroup lineWeight="2.25" displayEmptyCellsAs="gap" xr2:uid="{00000000-0003-0000-0000-00005F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Eksploatacja!B46:I46</xm:f>
              <xm:sqref>B47</xm:sqref>
            </x14:sparkline>
          </x14:sparklines>
        </x14:sparklineGroup>
        <x14:sparklineGroup lineWeight="2.25" displayEmptyCellsAs="gap" xr2:uid="{00000000-0003-0000-0000-00005E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Eksploatacja!B48:I48</xm:f>
              <xm:sqref>B49</xm:sqref>
            </x14:sparkline>
          </x14:sparklines>
        </x14:sparklineGroup>
        <x14:sparklineGroup lineWeight="2.25" displayEmptyCellsAs="gap" xr2:uid="{00000000-0003-0000-0000-00005D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Eksploatacja!B50:I50</xm:f>
              <xm:sqref>B51</xm:sqref>
            </x14:sparkline>
          </x14:sparklines>
        </x14:sparklineGroup>
        <x14:sparklineGroup lineWeight="2.25" displayEmptyCellsAs="gap" xr2:uid="{00000000-0003-0000-0000-00005C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Eksploatacja!B52:I52</xm:f>
              <xm:sqref>B53</xm:sqref>
            </x14:sparkline>
          </x14:sparklines>
        </x14:sparklineGroup>
        <x14:sparklineGroup lineWeight="2.25" displayEmptyCellsAs="gap" xr2:uid="{00000000-0003-0000-0000-00005B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Eksploatacja!B54:I54</xm:f>
              <xm:sqref>B55</xm:sqref>
            </x14:sparkline>
          </x14:sparklines>
        </x14:sparklineGroup>
        <x14:sparklineGroup lineWeight="2.25" displayEmptyCellsAs="gap" xr2:uid="{00000000-0003-0000-0000-00005A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Eksploatacja!B56:I56</xm:f>
              <xm:sqref>B57</xm:sqref>
            </x14:sparkline>
          </x14:sparklines>
        </x14:sparklineGroup>
        <x14:sparklineGroup lineWeight="2.25" displayEmptyCellsAs="gap" xr2:uid="{00000000-0003-0000-0000-000059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Eksploatacja!B58:I58</xm:f>
              <xm:sqref>B59</xm:sqref>
            </x14:sparkline>
          </x14:sparklines>
        </x14:sparklineGroup>
        <x14:sparklineGroup lineWeight="2.25" displayEmptyCellsAs="gap" xr2:uid="{00000000-0003-0000-0000-000058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Eksploatacja!B60:I60</xm:f>
              <xm:sqref>B61</xm:sqref>
            </x14:sparkline>
          </x14:sparklines>
        </x14:sparklineGroup>
        <x14:sparklineGroup lineWeight="2.25" displayEmptyCellsAs="gap" xr2:uid="{00000000-0003-0000-0000-000057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Eksploatacja!B62:I62</xm:f>
              <xm:sqref>B63</xm:sqref>
            </x14:sparkline>
          </x14:sparklines>
        </x14:sparklineGroup>
        <x14:sparklineGroup lineWeight="2.25" displayEmptyCellsAs="gap" xr2:uid="{00000000-0003-0000-0000-000056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Eksploatacja!B64:I64</xm:f>
              <xm:sqref>B65</xm:sqref>
            </x14:sparkline>
          </x14:sparklines>
        </x14:sparklineGroup>
        <x14:sparklineGroup lineWeight="2.25" displayEmptyCellsAs="gap" xr2:uid="{00000000-0003-0000-0000-000055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Eksploatacja!B66:I66</xm:f>
              <xm:sqref>B67</xm:sqref>
            </x14:sparkline>
          </x14:sparklines>
        </x14:sparklineGroup>
        <x14:sparklineGroup lineWeight="2.25" displayEmptyCellsAs="gap" xr2:uid="{00000000-0003-0000-0000-000054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Eksploatacja!B68:I68</xm:f>
              <xm:sqref>B69</xm:sqref>
            </x14:sparkline>
          </x14:sparklines>
        </x14:sparklineGroup>
        <x14:sparklineGroup lineWeight="2.25" displayEmptyCellsAs="gap" xr2:uid="{00000000-0003-0000-0000-000053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Eksploatacja!B70:I70</xm:f>
              <xm:sqref>B71</xm:sqref>
            </x14:sparkline>
          </x14:sparklines>
        </x14:sparklineGroup>
        <x14:sparklineGroup lineWeight="2.25" displayEmptyCellsAs="gap" xr2:uid="{00000000-0003-0000-0000-000052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Eksploatacja!B72:I72</xm:f>
              <xm:sqref>B73</xm:sqref>
            </x14:sparkline>
          </x14:sparklines>
        </x14:sparklineGroup>
        <x14:sparklineGroup lineWeight="2.25" displayEmptyCellsAs="gap" xr2:uid="{00000000-0003-0000-0000-000051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Eksploatacja!B74:I74</xm:f>
              <xm:sqref>B75</xm:sqref>
            </x14:sparkline>
          </x14:sparklines>
        </x14:sparklineGroup>
        <x14:sparklineGroup lineWeight="2.25" displayEmptyCellsAs="gap" xr2:uid="{00000000-0003-0000-0000-00005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Eksploatacja!B76:I76</xm:f>
              <xm:sqref>B77</xm:sqref>
            </x14:sparkline>
          </x14:sparklines>
        </x14:sparklineGroup>
        <x14:sparklineGroup lineWeight="2.25" displayEmptyCellsAs="gap" xr2:uid="{00000000-0003-0000-0000-00004F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Eksploatacja!B78:I78</xm:f>
              <xm:sqref>B79</xm:sqref>
            </x14:sparkline>
          </x14:sparklines>
        </x14:sparklineGroup>
        <x14:sparklineGroup lineWeight="2.25" displayEmptyCellsAs="gap" xr2:uid="{00000000-0003-0000-0000-00004E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Eksploatacja!B80:I80</xm:f>
              <xm:sqref>B81</xm:sqref>
            </x14:sparkline>
          </x14:sparklines>
        </x14:sparklineGroup>
        <x14:sparklineGroup lineWeight="2.25" displayEmptyCellsAs="gap" xr2:uid="{00000000-0003-0000-0000-00004D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Eksploatacja!B82:I82</xm:f>
              <xm:sqref>B83</xm:sqref>
            </x14:sparkline>
          </x14:sparklines>
        </x14:sparklineGroup>
        <x14:sparklineGroup lineWeight="2.25" displayEmptyCellsAs="gap" xr2:uid="{00000000-0003-0000-0000-00004C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Eksploatacja!B84:I84</xm:f>
              <xm:sqref>B85</xm:sqref>
            </x14:sparkline>
          </x14:sparklines>
        </x14:sparklineGroup>
        <x14:sparklineGroup lineWeight="2.25" displayEmptyCellsAs="gap" xr2:uid="{00000000-0003-0000-0000-00004B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Eksploatacja!B86:I86</xm:f>
              <xm:sqref>B87</xm:sqref>
            </x14:sparkline>
          </x14:sparklines>
        </x14:sparklineGroup>
        <x14:sparklineGroup lineWeight="2.25" displayEmptyCellsAs="gap" xr2:uid="{00000000-0003-0000-0000-00004A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Eksploatacja!B88:I88</xm:f>
              <xm:sqref>B89</xm:sqref>
            </x14:sparkline>
          </x14:sparklines>
        </x14:sparklineGroup>
        <x14:sparklineGroup lineWeight="2.25" displayEmptyCellsAs="gap" xr2:uid="{00000000-0003-0000-0000-000049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Eksploatacja!B90:I90</xm:f>
              <xm:sqref>B91</xm:sqref>
            </x14:sparkline>
          </x14:sparklines>
        </x14:sparklineGroup>
        <x14:sparklineGroup lineWeight="2.25" displayEmptyCellsAs="gap" xr2:uid="{00000000-0003-0000-0000-000048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Eksploatacja!B92:I92</xm:f>
              <xm:sqref>B93</xm:sqref>
            </x14:sparkline>
          </x14:sparklines>
        </x14:sparklineGroup>
        <x14:sparklineGroup lineWeight="2.25" displayEmptyCellsAs="gap" xr2:uid="{00000000-0003-0000-0000-000047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Eksploatacja!B94:I94</xm:f>
              <xm:sqref>B95</xm:sqref>
            </x14:sparkline>
          </x14:sparklines>
        </x14:sparklineGroup>
        <x14:sparklineGroup lineWeight="2.25" displayEmptyCellsAs="gap" xr2:uid="{00000000-0003-0000-0000-000046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Eksploatacja!B96:I96</xm:f>
              <xm:sqref>B97</xm:sqref>
            </x14:sparkline>
          </x14:sparklines>
        </x14:sparklineGroup>
        <x14:sparklineGroup lineWeight="2.25" displayEmptyCellsAs="gap" xr2:uid="{00000000-0003-0000-0000-000045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Eksploatacja!B98:I98</xm:f>
              <xm:sqref>B99</xm:sqref>
            </x14:sparkline>
          </x14:sparklines>
        </x14:sparklineGroup>
        <x14:sparklineGroup lineWeight="2.25" displayEmptyCellsAs="gap" xr2:uid="{00000000-0003-0000-0000-000044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Eksploatacja!B100:I100</xm:f>
              <xm:sqref>B101</xm:sqref>
            </x14:sparkline>
          </x14:sparklines>
        </x14:sparklineGroup>
        <x14:sparklineGroup lineWeight="2.25" displayEmptyCellsAs="gap" xr2:uid="{00000000-0003-0000-0000-000043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Eksploatacja!B102:I102</xm:f>
              <xm:sqref>B103</xm:sqref>
            </x14:sparkline>
          </x14:sparklines>
        </x14:sparklineGroup>
        <x14:sparklineGroup lineWeight="2.25" displayEmptyCellsAs="gap" xr2:uid="{00000000-0003-0000-0000-000042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Eksploatacja!B104:I104</xm:f>
              <xm:sqref>B105</xm:sqref>
            </x14:sparkline>
          </x14:sparklines>
        </x14:sparklineGroup>
        <x14:sparklineGroup lineWeight="2.25" displayEmptyCellsAs="gap" xr2:uid="{00000000-0003-0000-0000-000041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Eksploatacja!B106:I106</xm:f>
              <xm:sqref>B107</xm:sqref>
            </x14:sparkline>
          </x14:sparklines>
        </x14:sparklineGroup>
        <x14:sparklineGroup lineWeight="2.25" displayEmptyCellsAs="gap" xr2:uid="{00000000-0003-0000-0000-00004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Eksploatacja!B108:I108</xm:f>
              <xm:sqref>B109</xm:sqref>
            </x14:sparkline>
          </x14:sparklines>
        </x14:sparklineGroup>
        <x14:sparklineGroup lineWeight="2.25" displayEmptyCellsAs="gap" xr2:uid="{00000000-0003-0000-0000-00003F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Eksploatacja!B110:I110</xm:f>
              <xm:sqref>B111</xm:sqref>
            </x14:sparkline>
          </x14:sparklines>
        </x14:sparklineGroup>
        <x14:sparklineGroup lineWeight="2.25" displayEmptyCellsAs="gap" xr2:uid="{00000000-0003-0000-0000-00003E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Eksploatacja!B112:I112</xm:f>
              <xm:sqref>B113</xm:sqref>
            </x14:sparkline>
          </x14:sparklines>
        </x14:sparklineGroup>
        <x14:sparklineGroup lineWeight="2.25" displayEmptyCellsAs="gap" xr2:uid="{00000000-0003-0000-0000-00003D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Eksploatacja!B114:I114</xm:f>
              <xm:sqref>B115</xm:sqref>
            </x14:sparkline>
          </x14:sparklines>
        </x14:sparklineGroup>
        <x14:sparklineGroup lineWeight="2.25" displayEmptyCellsAs="gap" xr2:uid="{00000000-0003-0000-0000-00003C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Eksploatacja!B116:I116</xm:f>
              <xm:sqref>B117</xm:sqref>
            </x14:sparkline>
          </x14:sparklines>
        </x14:sparklineGroup>
        <x14:sparklineGroup lineWeight="2.25" displayEmptyCellsAs="gap" xr2:uid="{00000000-0003-0000-0000-00003B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Eksploatacja!B118:I118</xm:f>
              <xm:sqref>B119</xm:sqref>
            </x14:sparkline>
          </x14:sparklines>
        </x14:sparklineGroup>
        <x14:sparklineGroup lineWeight="2.25" displayEmptyCellsAs="gap" xr2:uid="{00000000-0003-0000-0000-00003A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Eksploatacja!B120:I120</xm:f>
              <xm:sqref>B121</xm:sqref>
            </x14:sparkline>
          </x14:sparklines>
        </x14:sparklineGroup>
        <x14:sparklineGroup lineWeight="2.25" displayEmptyCellsAs="gap" xr2:uid="{00000000-0003-0000-0000-000039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Eksploatacja!B122:I122</xm:f>
              <xm:sqref>B123</xm:sqref>
            </x14:sparkline>
          </x14:sparklines>
        </x14:sparklineGroup>
        <x14:sparklineGroup lineWeight="2.25" displayEmptyCellsAs="gap" xr2:uid="{00000000-0003-0000-0000-000038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Eksploatacja!B124:I124</xm:f>
              <xm:sqref>B125</xm:sqref>
            </x14:sparkline>
          </x14:sparklines>
        </x14:sparklineGroup>
        <x14:sparklineGroup lineWeight="2.25" displayEmptyCellsAs="gap" xr2:uid="{00000000-0003-0000-0000-000037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Eksploatacja!B126:I126</xm:f>
              <xm:sqref>B127</xm:sqref>
            </x14:sparkline>
          </x14:sparklines>
        </x14:sparklineGroup>
        <x14:sparklineGroup lineWeight="2.25" displayEmptyCellsAs="gap" xr2:uid="{00000000-0003-0000-0000-000036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Eksploatacja!B128:I128</xm:f>
              <xm:sqref>B129</xm:sqref>
            </x14:sparkline>
          </x14:sparklines>
        </x14:sparklineGroup>
        <x14:sparklineGroup lineWeight="2.25" displayEmptyCellsAs="gap" xr2:uid="{00000000-0003-0000-0000-000035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Eksploatacja!B130:I130</xm:f>
              <xm:sqref>B131</xm:sqref>
            </x14:sparkline>
          </x14:sparklines>
        </x14:sparklineGroup>
        <x14:sparklineGroup lineWeight="2.25" displayEmptyCellsAs="gap" xr2:uid="{00000000-0003-0000-0000-000034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Eksploatacja!B132:I132</xm:f>
              <xm:sqref>B133</xm:sqref>
            </x14:sparkline>
          </x14:sparklines>
        </x14:sparklineGroup>
        <x14:sparklineGroup lineWeight="2.25" displayEmptyCellsAs="gap" xr2:uid="{00000000-0003-0000-0000-000033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Eksploatacja!B134:I134</xm:f>
              <xm:sqref>B135</xm:sqref>
            </x14:sparkline>
          </x14:sparklines>
        </x14:sparklineGroup>
        <x14:sparklineGroup lineWeight="2.25" displayEmptyCellsAs="gap" xr2:uid="{00000000-0003-0000-0000-000032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Eksploatacja!B136:I136</xm:f>
              <xm:sqref>B137</xm:sqref>
            </x14:sparkline>
          </x14:sparklines>
        </x14:sparklineGroup>
        <x14:sparklineGroup lineWeight="2.25" displayEmptyCellsAs="gap" xr2:uid="{00000000-0003-0000-0000-000031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Eksploatacja!B138:I138</xm:f>
              <xm:sqref>B139</xm:sqref>
            </x14:sparkline>
          </x14:sparklines>
        </x14:sparklineGroup>
        <x14:sparklineGroup lineWeight="2.25" displayEmptyCellsAs="gap" xr2:uid="{00000000-0003-0000-0000-00003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Eksploatacja!B140:I140</xm:f>
              <xm:sqref>B141</xm:sqref>
            </x14:sparkline>
          </x14:sparklines>
        </x14:sparklineGroup>
        <x14:sparklineGroup lineWeight="2.25" displayEmptyCellsAs="gap" xr2:uid="{00000000-0003-0000-0000-00002F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Eksploatacja!B142:I142</xm:f>
              <xm:sqref>B143</xm:sqref>
            </x14:sparkline>
          </x14:sparklines>
        </x14:sparklineGroup>
        <x14:sparklineGroup lineWeight="2.25" displayEmptyCellsAs="gap" xr2:uid="{00000000-0003-0000-0000-00002E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Eksploatacja!B144:I144</xm:f>
              <xm:sqref>B145</xm:sqref>
            </x14:sparkline>
          </x14:sparklines>
        </x14:sparklineGroup>
        <x14:sparklineGroup lineWeight="2.25" displayEmptyCellsAs="gap" xr2:uid="{00000000-0003-0000-0000-00002D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Eksploatacja!B146:I146</xm:f>
              <xm:sqref>B147</xm:sqref>
            </x14:sparkline>
          </x14:sparklines>
        </x14:sparklineGroup>
        <x14:sparklineGroup lineWeight="2.25" displayEmptyCellsAs="gap" xr2:uid="{00000000-0003-0000-0000-00002C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Eksploatacja!B148:I148</xm:f>
              <xm:sqref>B149</xm:sqref>
            </x14:sparkline>
          </x14:sparklines>
        </x14:sparklineGroup>
        <x14:sparklineGroup lineWeight="2.25" displayEmptyCellsAs="gap" xr2:uid="{00000000-0003-0000-0000-00002B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Eksploatacja!B150:I150</xm:f>
              <xm:sqref>B151</xm:sqref>
            </x14:sparkline>
          </x14:sparklines>
        </x14:sparklineGroup>
        <x14:sparklineGroup lineWeight="2.25" displayEmptyCellsAs="gap" xr2:uid="{00000000-0003-0000-0000-00002A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Eksploatacja!B152:I152</xm:f>
              <xm:sqref>B153</xm:sqref>
            </x14:sparkline>
          </x14:sparklines>
        </x14:sparklineGroup>
        <x14:sparklineGroup lineWeight="2.25" displayEmptyCellsAs="gap" xr2:uid="{00000000-0003-0000-0000-000029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Eksploatacja!B154:I154</xm:f>
              <xm:sqref>B155</xm:sqref>
            </x14:sparkline>
          </x14:sparklines>
        </x14:sparklineGroup>
        <x14:sparklineGroup lineWeight="2.25" displayEmptyCellsAs="gap" xr2:uid="{00000000-0003-0000-0000-000028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Eksploatacja!B156:I156</xm:f>
              <xm:sqref>B157</xm:sqref>
            </x14:sparkline>
          </x14:sparklines>
        </x14:sparklineGroup>
        <x14:sparklineGroup lineWeight="2.25" displayEmptyCellsAs="gap" xr2:uid="{00000000-0003-0000-0000-000027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Eksploatacja!B158:I158</xm:f>
              <xm:sqref>B159</xm:sqref>
            </x14:sparkline>
          </x14:sparklines>
        </x14:sparklineGroup>
        <x14:sparklineGroup lineWeight="2.25" displayEmptyCellsAs="gap" xr2:uid="{00000000-0003-0000-0000-000026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Eksploatacja!B160:I160</xm:f>
              <xm:sqref>B161</xm:sqref>
            </x14:sparkline>
          </x14:sparklines>
        </x14:sparklineGroup>
        <x14:sparklineGroup lineWeight="2.25" displayEmptyCellsAs="gap" xr2:uid="{00000000-0003-0000-0000-000025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Eksploatacja!B162:I162</xm:f>
              <xm:sqref>B163</xm:sqref>
            </x14:sparkline>
          </x14:sparklines>
        </x14:sparklineGroup>
        <x14:sparklineGroup lineWeight="2.25" displayEmptyCellsAs="gap" xr2:uid="{00000000-0003-0000-0000-000024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Eksploatacja!B164:I164</xm:f>
              <xm:sqref>B165</xm:sqref>
            </x14:sparkline>
          </x14:sparklines>
        </x14:sparklineGroup>
        <x14:sparklineGroup lineWeight="2.25" displayEmptyCellsAs="gap" xr2:uid="{00000000-0003-0000-0000-000023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Eksploatacja!B166:I166</xm:f>
              <xm:sqref>B167</xm:sqref>
            </x14:sparkline>
          </x14:sparklines>
        </x14:sparklineGroup>
        <x14:sparklineGroup lineWeight="2.25" displayEmptyCellsAs="gap" xr2:uid="{00000000-0003-0000-0000-000022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Eksploatacja!B168:I168</xm:f>
              <xm:sqref>B169</xm:sqref>
            </x14:sparkline>
          </x14:sparklines>
        </x14:sparklineGroup>
        <x14:sparklineGroup lineWeight="2.25" displayEmptyCellsAs="gap" xr2:uid="{00000000-0003-0000-0000-000021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Eksploatacja!B170:I170</xm:f>
              <xm:sqref>B171</xm:sqref>
            </x14:sparkline>
          </x14:sparklines>
        </x14:sparklineGroup>
        <x14:sparklineGroup lineWeight="2.25" displayEmptyCellsAs="gap" xr2:uid="{00000000-0003-0000-0000-00002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Eksploatacja!B172:I172</xm:f>
              <xm:sqref>B173</xm:sqref>
            </x14:sparkline>
          </x14:sparklines>
        </x14:sparklineGroup>
        <x14:sparklineGroup lineWeight="2.25" displayEmptyCellsAs="gap" xr2:uid="{00000000-0003-0000-0000-00001F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Eksploatacja!B174:I174</xm:f>
              <xm:sqref>B175</xm:sqref>
            </x14:sparkline>
          </x14:sparklines>
        </x14:sparklineGroup>
        <x14:sparklineGroup lineWeight="2.25" displayEmptyCellsAs="gap" xr2:uid="{00000000-0003-0000-0000-00001E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Eksploatacja!B176:I176</xm:f>
              <xm:sqref>B177</xm:sqref>
            </x14:sparkline>
          </x14:sparklines>
        </x14:sparklineGroup>
        <x14:sparklineGroup lineWeight="2.25" displayEmptyCellsAs="gap" xr2:uid="{00000000-0003-0000-0000-00001D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Eksploatacja!B178:I178</xm:f>
              <xm:sqref>B179</xm:sqref>
            </x14:sparkline>
          </x14:sparklines>
        </x14:sparklineGroup>
        <x14:sparklineGroup lineWeight="2.25" displayEmptyCellsAs="gap" xr2:uid="{00000000-0003-0000-0000-00001C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Eksploatacja!B180:I180</xm:f>
              <xm:sqref>B181</xm:sqref>
            </x14:sparkline>
          </x14:sparklines>
        </x14:sparklineGroup>
        <x14:sparklineGroup lineWeight="2.25" displayEmptyCellsAs="gap" xr2:uid="{00000000-0003-0000-0000-00001B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Eksploatacja!B182:I182</xm:f>
              <xm:sqref>B183</xm:sqref>
            </x14:sparkline>
          </x14:sparklines>
        </x14:sparklineGroup>
        <x14:sparklineGroup lineWeight="2.25" displayEmptyCellsAs="gap" xr2:uid="{00000000-0003-0000-0000-00001A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Eksploatacja!B184:I184</xm:f>
              <xm:sqref>B185</xm:sqref>
            </x14:sparkline>
          </x14:sparklines>
        </x14:sparklineGroup>
        <x14:sparklineGroup lineWeight="2.25" displayEmptyCellsAs="gap" xr2:uid="{00000000-0003-0000-0000-000019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Eksploatacja!B186:I186</xm:f>
              <xm:sqref>B187</xm:sqref>
            </x14:sparkline>
          </x14:sparklines>
        </x14:sparklineGroup>
        <x14:sparklineGroup lineWeight="2.25" displayEmptyCellsAs="gap" xr2:uid="{00000000-0003-0000-0000-000018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Eksploatacja!B188:I188</xm:f>
              <xm:sqref>B189</xm:sqref>
            </x14:sparkline>
          </x14:sparklines>
        </x14:sparklineGroup>
        <x14:sparklineGroup lineWeight="2.25" displayEmptyCellsAs="gap" xr2:uid="{00000000-0003-0000-0000-000017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Eksploatacja!B190:I190</xm:f>
              <xm:sqref>B191</xm:sqref>
            </x14:sparkline>
          </x14:sparklines>
        </x14:sparklineGroup>
        <x14:sparklineGroup lineWeight="2.25" displayEmptyCellsAs="gap" xr2:uid="{00000000-0003-0000-0000-000016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Eksploatacja!B192:I192</xm:f>
              <xm:sqref>B193</xm:sqref>
            </x14:sparkline>
          </x14:sparklines>
        </x14:sparklineGroup>
        <x14:sparklineGroup lineWeight="2.25" displayEmptyCellsAs="gap" xr2:uid="{00000000-0003-0000-0000-000015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Eksploatacja!B194:I194</xm:f>
              <xm:sqref>B195</xm:sqref>
            </x14:sparkline>
          </x14:sparklines>
        </x14:sparklineGroup>
        <x14:sparklineGroup lineWeight="2.25" displayEmptyCellsAs="gap" xr2:uid="{00000000-0003-0000-0000-000014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Eksploatacja!B196:I196</xm:f>
              <xm:sqref>B197</xm:sqref>
            </x14:sparkline>
          </x14:sparklines>
        </x14:sparklineGroup>
        <x14:sparklineGroup lineWeight="2.25" displayEmptyCellsAs="gap" xr2:uid="{00000000-0003-0000-0000-000013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Eksploatacja!B198:I198</xm:f>
              <xm:sqref>B199</xm:sqref>
            </x14:sparkline>
          </x14:sparklines>
        </x14:sparklineGroup>
        <x14:sparklineGroup lineWeight="2.25" displayEmptyCellsAs="gap" xr2:uid="{00000000-0003-0000-0000-000012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Eksploatacja!B200:I200</xm:f>
              <xm:sqref>B201</xm:sqref>
            </x14:sparkline>
          </x14:sparklines>
        </x14:sparklineGroup>
        <x14:sparklineGroup lineWeight="2.25" displayEmptyCellsAs="gap" xr2:uid="{00000000-0003-0000-0000-000011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Eksploatacja!B202:I202</xm:f>
              <xm:sqref>B203</xm:sqref>
            </x14:sparkline>
          </x14:sparklines>
        </x14:sparklineGroup>
        <x14:sparklineGroup lineWeight="2.25" displayEmptyCellsAs="gap" xr2:uid="{00000000-0003-0000-0000-00001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Eksploatacja!B204:I204</xm:f>
              <xm:sqref>B205</xm:sqref>
            </x14:sparkline>
          </x14:sparklines>
        </x14:sparklineGroup>
        <x14:sparklineGroup lineWeight="2.25" displayEmptyCellsAs="gap" xr2:uid="{00000000-0003-0000-0000-00000F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Eksploatacja!B206:I206</xm:f>
              <xm:sqref>B207</xm:sqref>
            </x14:sparkline>
          </x14:sparklines>
        </x14:sparklineGroup>
        <x14:sparklineGroup lineWeight="2.25" displayEmptyCellsAs="gap" xr2:uid="{00000000-0003-0000-0000-00000E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Eksploatacja!B208:I208</xm:f>
              <xm:sqref>B209</xm:sqref>
            </x14:sparkline>
          </x14:sparklines>
        </x14:sparklineGroup>
        <x14:sparklineGroup lineWeight="2.25" displayEmptyCellsAs="gap" xr2:uid="{00000000-0003-0000-0000-00000D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Eksploatacja!B210:I210</xm:f>
              <xm:sqref>B211</xm:sqref>
            </x14:sparkline>
          </x14:sparklines>
        </x14:sparklineGroup>
        <x14:sparklineGroup lineWeight="2.25" displayEmptyCellsAs="gap" xr2:uid="{00000000-0003-0000-0000-00000C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Eksploatacja!B212:I212</xm:f>
              <xm:sqref>B213</xm:sqref>
            </x14:sparkline>
          </x14:sparklines>
        </x14:sparklineGroup>
        <x14:sparklineGroup lineWeight="2.25" displayEmptyCellsAs="gap" xr2:uid="{00000000-0003-0000-0000-00000B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Eksploatacja!B214:I214</xm:f>
              <xm:sqref>B215</xm:sqref>
            </x14:sparkline>
          </x14:sparklines>
        </x14:sparklineGroup>
        <x14:sparklineGroup lineWeight="2.25" displayEmptyCellsAs="gap" xr2:uid="{00000000-0003-0000-0000-00000A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Eksploatacja!B216:I216</xm:f>
              <xm:sqref>B217</xm:sqref>
            </x14:sparkline>
          </x14:sparklines>
        </x14:sparklineGroup>
        <x14:sparklineGroup lineWeight="2.25" displayEmptyCellsAs="gap" xr2:uid="{00000000-0003-0000-0000-000009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Eksploatacja!B218:I218</xm:f>
              <xm:sqref>B219</xm:sqref>
            </x14:sparkline>
          </x14:sparklines>
        </x14:sparklineGroup>
        <x14:sparklineGroup lineWeight="2.25" displayEmptyCellsAs="gap" xr2:uid="{00000000-0003-0000-0000-000008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Eksploatacja!B220:I220</xm:f>
              <xm:sqref>B221</xm:sqref>
            </x14:sparkline>
          </x14:sparklines>
        </x14:sparklineGroup>
        <x14:sparklineGroup lineWeight="2.25" displayEmptyCellsAs="gap" xr2:uid="{00000000-0003-0000-0000-000007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Eksploatacja!B222:I222</xm:f>
              <xm:sqref>B223</xm:sqref>
            </x14:sparkline>
          </x14:sparklines>
        </x14:sparklineGroup>
        <x14:sparklineGroup lineWeight="2.25" displayEmptyCellsAs="gap" xr2:uid="{00000000-0003-0000-0000-000006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Eksploatacja!B224:I224</xm:f>
              <xm:sqref>B225</xm:sqref>
            </x14:sparkline>
          </x14:sparklines>
        </x14:sparklineGroup>
        <x14:sparklineGroup lineWeight="2.25" displayEmptyCellsAs="gap" xr2:uid="{00000000-0003-0000-0000-000005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Eksploatacja!B226:I226</xm:f>
              <xm:sqref>B227</xm:sqref>
            </x14:sparkline>
          </x14:sparklines>
        </x14:sparklineGroup>
        <x14:sparklineGroup lineWeight="2.25" displayEmptyCellsAs="gap" xr2:uid="{00000000-0003-0000-0000-000004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Eksploatacja!B228:I228</xm:f>
              <xm:sqref>B229</xm:sqref>
            </x14:sparkline>
          </x14:sparklines>
        </x14:sparklineGroup>
        <x14:sparklineGroup lineWeight="2.25" displayEmptyCellsAs="gap" xr2:uid="{00000000-0003-0000-0000-000003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Eksploatacja!B230:I230</xm:f>
              <xm:sqref>B231</xm:sqref>
            </x14:sparkline>
          </x14:sparklines>
        </x14:sparklineGroup>
        <x14:sparklineGroup lineWeight="2.25" displayEmptyCellsAs="gap" xr2:uid="{00000000-0003-0000-0000-000002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Eksploatacja!B232:I232</xm:f>
              <xm:sqref>B233</xm:sqref>
            </x14:sparkline>
          </x14:sparklines>
        </x14:sparklineGroup>
        <x14:sparklineGroup lineWeight="2.25" displayEmptyCellsAs="gap" xr2:uid="{00000000-0003-0000-0000-000001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Eksploatacja!B234:I234</xm:f>
              <xm:sqref>B235</xm:sqref>
            </x14:sparkline>
          </x14:sparklines>
        </x14:sparklineGroup>
        <x14:sparklineGroup lineWeight="2.25" displayEmptyCellsAs="gap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Eksploatacja!B236:I236</xm:f>
              <xm:sqref>B237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CFF55-8EF1-4634-9111-12C512B40D6F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"/>
  <sheetViews>
    <sheetView zoomScale="70" zoomScaleNormal="70" workbookViewId="0">
      <selection activeCell="P11" sqref="P11"/>
    </sheetView>
  </sheetViews>
  <sheetFormatPr defaultRowHeight="14.4" x14ac:dyDescent="0.3"/>
  <cols>
    <col min="1" max="1" width="45.6640625" customWidth="1"/>
    <col min="2" max="10" width="20.6640625" customWidth="1"/>
  </cols>
  <sheetData>
    <row r="1" spans="1:9" ht="100.8" x14ac:dyDescent="0.3">
      <c r="A1" s="3" t="s">
        <v>1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196</v>
      </c>
      <c r="I1" s="4" t="s">
        <v>198</v>
      </c>
    </row>
    <row r="2" spans="1:9" ht="30" customHeight="1" x14ac:dyDescent="0.3">
      <c r="A2" s="71" t="s">
        <v>88</v>
      </c>
      <c r="B2" s="1">
        <f>1.7+0.52+0.21+0.2</f>
        <v>2.63</v>
      </c>
      <c r="C2" s="1">
        <f>2.03+0.22+0.52+0.16</f>
        <v>2.93</v>
      </c>
      <c r="D2" s="1">
        <f>2.03+0.52+0.22+0.16</f>
        <v>2.93</v>
      </c>
      <c r="E2" s="1">
        <v>2.88</v>
      </c>
      <c r="F2" s="1">
        <v>2.88</v>
      </c>
      <c r="G2" s="1">
        <v>2.99</v>
      </c>
      <c r="H2" s="1">
        <v>3.7183783057572377</v>
      </c>
      <c r="I2" s="1">
        <v>3.72</v>
      </c>
    </row>
    <row r="3" spans="1:9" ht="65.099999999999994" customHeight="1" x14ac:dyDescent="0.3">
      <c r="A3" s="71"/>
      <c r="B3" s="73"/>
      <c r="C3" s="74"/>
      <c r="D3" s="74"/>
      <c r="E3" s="74"/>
      <c r="F3" s="74"/>
      <c r="G3" s="74"/>
      <c r="H3" s="74"/>
      <c r="I3" s="75"/>
    </row>
    <row r="6" spans="1:9" ht="86.4" x14ac:dyDescent="0.3">
      <c r="A6" s="4" t="s">
        <v>1</v>
      </c>
      <c r="B6" s="7" t="s">
        <v>138</v>
      </c>
      <c r="C6" s="7" t="s">
        <v>139</v>
      </c>
      <c r="D6" s="7" t="s">
        <v>140</v>
      </c>
      <c r="E6" s="7" t="s">
        <v>141</v>
      </c>
      <c r="F6" s="7" t="s">
        <v>142</v>
      </c>
      <c r="G6" s="7" t="s">
        <v>143</v>
      </c>
      <c r="H6" s="7" t="s">
        <v>144</v>
      </c>
      <c r="I6" s="4" t="s">
        <v>199</v>
      </c>
    </row>
    <row r="7" spans="1:9" ht="30" customHeight="1" x14ac:dyDescent="0.3">
      <c r="A7" s="72" t="s">
        <v>88</v>
      </c>
      <c r="B7" s="8">
        <v>0.77</v>
      </c>
      <c r="C7" s="8">
        <v>0.77</v>
      </c>
      <c r="D7" s="8">
        <v>0.77</v>
      </c>
      <c r="E7" s="8">
        <v>0.77</v>
      </c>
      <c r="F7" s="8">
        <v>0.77</v>
      </c>
      <c r="G7" s="8">
        <v>0.77</v>
      </c>
      <c r="H7" s="8">
        <v>0.77</v>
      </c>
      <c r="I7" s="9">
        <v>0.9</v>
      </c>
    </row>
    <row r="8" spans="1:9" ht="60" customHeight="1" x14ac:dyDescent="0.3">
      <c r="A8" s="72"/>
      <c r="B8" s="77"/>
      <c r="C8" s="78"/>
      <c r="D8" s="78"/>
      <c r="E8" s="78"/>
      <c r="F8" s="78"/>
      <c r="G8" s="78"/>
      <c r="H8" s="78"/>
      <c r="I8" s="79"/>
    </row>
    <row r="11" spans="1:9" ht="72" x14ac:dyDescent="0.3">
      <c r="A11" s="3" t="s">
        <v>1</v>
      </c>
      <c r="B11" s="7" t="s">
        <v>126</v>
      </c>
      <c r="C11" s="7" t="s">
        <v>127</v>
      </c>
      <c r="D11" s="7" t="s">
        <v>128</v>
      </c>
      <c r="E11" s="7" t="s">
        <v>131</v>
      </c>
      <c r="F11" s="7" t="s">
        <v>129</v>
      </c>
      <c r="G11" s="7" t="s">
        <v>130</v>
      </c>
      <c r="H11" s="7" t="s">
        <v>132</v>
      </c>
      <c r="I11" s="4" t="s">
        <v>200</v>
      </c>
    </row>
    <row r="12" spans="1:9" ht="30" customHeight="1" x14ac:dyDescent="0.3">
      <c r="A12" s="71" t="s">
        <v>88</v>
      </c>
      <c r="B12" s="9">
        <v>0.8</v>
      </c>
      <c r="C12" s="9">
        <v>0.8</v>
      </c>
      <c r="D12" s="9">
        <v>0.8</v>
      </c>
      <c r="E12" s="9">
        <v>0.9</v>
      </c>
      <c r="F12" s="9">
        <v>1</v>
      </c>
      <c r="G12" s="9">
        <v>1.1000000000000001</v>
      </c>
      <c r="H12" s="9">
        <v>1.2</v>
      </c>
      <c r="I12" s="9">
        <v>1.97</v>
      </c>
    </row>
    <row r="13" spans="1:9" ht="60" customHeight="1" x14ac:dyDescent="0.3">
      <c r="A13" s="71"/>
      <c r="B13" s="77"/>
      <c r="C13" s="78"/>
      <c r="D13" s="78"/>
      <c r="E13" s="78"/>
      <c r="F13" s="78"/>
      <c r="G13" s="78"/>
      <c r="H13" s="78"/>
      <c r="I13" s="79"/>
    </row>
    <row r="16" spans="1:9" ht="86.4" x14ac:dyDescent="0.3">
      <c r="A16" s="3" t="s">
        <v>1</v>
      </c>
      <c r="B16" s="7" t="s">
        <v>145</v>
      </c>
      <c r="C16" s="7" t="s">
        <v>146</v>
      </c>
      <c r="D16" s="7" t="s">
        <v>147</v>
      </c>
      <c r="E16" s="7" t="s">
        <v>148</v>
      </c>
      <c r="F16" s="7" t="s">
        <v>149</v>
      </c>
      <c r="G16" s="7" t="s">
        <v>150</v>
      </c>
      <c r="H16" s="7" t="s">
        <v>151</v>
      </c>
      <c r="I16" s="4" t="s">
        <v>201</v>
      </c>
    </row>
    <row r="17" spans="1:9" ht="30" customHeight="1" x14ac:dyDescent="0.3">
      <c r="A17" s="71" t="s">
        <v>88</v>
      </c>
      <c r="B17" s="9">
        <v>0.3</v>
      </c>
      <c r="C17" s="9">
        <v>0.3</v>
      </c>
      <c r="D17" s="9">
        <v>0.3</v>
      </c>
      <c r="E17" s="9">
        <v>0.3</v>
      </c>
      <c r="F17" s="9">
        <v>0.3</v>
      </c>
      <c r="G17" s="9">
        <v>0.3</v>
      </c>
      <c r="H17" s="9">
        <v>0.3</v>
      </c>
      <c r="I17" s="9">
        <v>0.4</v>
      </c>
    </row>
    <row r="18" spans="1:9" ht="60" customHeight="1" x14ac:dyDescent="0.3">
      <c r="A18" s="71"/>
      <c r="B18" s="77"/>
      <c r="C18" s="78"/>
      <c r="D18" s="78"/>
      <c r="E18" s="78"/>
      <c r="F18" s="78"/>
      <c r="G18" s="78"/>
      <c r="H18" s="78"/>
      <c r="I18" s="79"/>
    </row>
  </sheetData>
  <mergeCells count="8">
    <mergeCell ref="A12:A13"/>
    <mergeCell ref="B13:I13"/>
    <mergeCell ref="A17:A18"/>
    <mergeCell ref="B18:I18"/>
    <mergeCell ref="A2:A3"/>
    <mergeCell ref="B3:I3"/>
    <mergeCell ref="A7:A8"/>
    <mergeCell ref="B8:I8"/>
  </mergeCells>
  <pageMargins left="0.7" right="0.7" top="0.75" bottom="0.75" header="0.3" footer="0.3"/>
  <legacy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manualMax="0.60000000000000009" manualMin="0" lineWeight="2.25" displayEmptyCellsAs="gap" minAxisType="custom" maxAxisType="custom" xr2:uid="{00000000-0003-0000-0100-000078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'141'!B17:I17</xm:f>
              <xm:sqref>B18</xm:sqref>
            </x14:sparkline>
          </x14:sparklines>
        </x14:sparklineGroup>
        <x14:sparklineGroup manualMax="0" manualMin="0" lineWeight="2.25" displayEmptyCellsAs="gap" minAxisType="custom" maxAxisType="custom" xr2:uid="{00000000-0003-0000-0100-000077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'141'!B12:I12</xm:f>
              <xm:sqref>B13</xm:sqref>
            </x14:sparkline>
          </x14:sparklines>
        </x14:sparklineGroup>
        <x14:sparklineGroup manualMax="1" manualMin="0.5" lineWeight="2.25" displayEmptyCellsAs="gap" minAxisType="custom" maxAxisType="custom" xr2:uid="{00000000-0003-0000-0100-000076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'141'!B7:I7</xm:f>
              <xm:sqref>B8</xm:sqref>
            </x14:sparkline>
          </x14:sparklines>
        </x14:sparklineGroup>
        <x14:sparklineGroup lineWeight="2.25" displayEmptyCellsAs="gap" xr2:uid="{00000000-0003-0000-0100-000075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'141'!B2:I2</xm:f>
              <xm:sqref>B3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W51"/>
  <sheetViews>
    <sheetView topLeftCell="A16" zoomScale="80" zoomScaleNormal="80" zoomScaleSheetLayoutView="80" workbookViewId="0">
      <selection activeCell="C27" sqref="C27"/>
    </sheetView>
  </sheetViews>
  <sheetFormatPr defaultColWidth="9.109375" defaultRowHeight="14.4" x14ac:dyDescent="0.3"/>
  <cols>
    <col min="1" max="1" width="7" style="21" customWidth="1"/>
    <col min="2" max="2" width="70.109375" style="21" customWidth="1"/>
    <col min="3" max="7" width="20.6640625" style="26" customWidth="1"/>
    <col min="8" max="19" width="9.109375" style="21" customWidth="1"/>
    <col min="20" max="16384" width="9.109375" style="21"/>
  </cols>
  <sheetData>
    <row r="1" spans="1:23" ht="39" customHeight="1" x14ac:dyDescent="0.3">
      <c r="A1" s="80" t="s">
        <v>187</v>
      </c>
      <c r="B1" s="80"/>
      <c r="C1" s="80"/>
      <c r="D1" s="80"/>
      <c r="E1" s="80"/>
      <c r="F1" s="80"/>
      <c r="G1" s="8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23" ht="22.5" customHeight="1" thickBot="1" x14ac:dyDescent="0.35">
      <c r="B2" s="22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23" s="24" customFormat="1" ht="75" customHeight="1" x14ac:dyDescent="0.3">
      <c r="A3" s="35" t="s">
        <v>157</v>
      </c>
      <c r="B3" s="36" t="s">
        <v>158</v>
      </c>
      <c r="C3" s="52" t="s">
        <v>188</v>
      </c>
      <c r="D3" s="53" t="s">
        <v>159</v>
      </c>
      <c r="E3" s="53" t="s">
        <v>160</v>
      </c>
      <c r="F3" s="54" t="s">
        <v>161</v>
      </c>
      <c r="G3" s="55" t="s">
        <v>197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s="24" customFormat="1" ht="24.75" customHeight="1" x14ac:dyDescent="0.3">
      <c r="A4" s="81" t="s">
        <v>189</v>
      </c>
      <c r="B4" s="82"/>
      <c r="C4" s="83"/>
      <c r="D4" s="56"/>
      <c r="E4" s="56"/>
      <c r="F4" s="56"/>
      <c r="G4" s="57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s="26" customFormat="1" ht="18.75" customHeight="1" x14ac:dyDescent="0.3">
      <c r="A5" s="84">
        <v>1</v>
      </c>
      <c r="B5" s="37" t="s">
        <v>162</v>
      </c>
      <c r="C5" s="58" t="s">
        <v>163</v>
      </c>
      <c r="D5" s="58" t="s">
        <v>163</v>
      </c>
      <c r="E5" s="58" t="s">
        <v>163</v>
      </c>
      <c r="F5" s="58" t="s">
        <v>163</v>
      </c>
      <c r="G5" s="59" t="str">
        <f t="shared" ref="G5:G27" si="0">C5</f>
        <v>..,..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s="26" customFormat="1" ht="18.75" customHeight="1" x14ac:dyDescent="0.3">
      <c r="A6" s="84"/>
      <c r="B6" s="38" t="s">
        <v>164</v>
      </c>
      <c r="C6" s="58" t="s">
        <v>163</v>
      </c>
      <c r="D6" s="58" t="s">
        <v>163</v>
      </c>
      <c r="E6" s="58" t="s">
        <v>163</v>
      </c>
      <c r="F6" s="58" t="s">
        <v>163</v>
      </c>
      <c r="G6" s="59" t="str">
        <f t="shared" si="0"/>
        <v>..,..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s="26" customFormat="1" ht="18.75" customHeight="1" x14ac:dyDescent="0.3">
      <c r="A7" s="84"/>
      <c r="B7" s="38" t="s">
        <v>165</v>
      </c>
      <c r="C7" s="58" t="s">
        <v>163</v>
      </c>
      <c r="D7" s="58" t="s">
        <v>163</v>
      </c>
      <c r="E7" s="58" t="s">
        <v>163</v>
      </c>
      <c r="F7" s="58" t="s">
        <v>163</v>
      </c>
      <c r="G7" s="59" t="str">
        <f t="shared" si="0"/>
        <v>..,..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</row>
    <row r="8" spans="1:23" s="26" customFormat="1" ht="18.75" customHeight="1" x14ac:dyDescent="0.3">
      <c r="A8" s="84"/>
      <c r="B8" s="38" t="s">
        <v>166</v>
      </c>
      <c r="C8" s="58" t="s">
        <v>163</v>
      </c>
      <c r="D8" s="58" t="s">
        <v>163</v>
      </c>
      <c r="E8" s="58" t="s">
        <v>163</v>
      </c>
      <c r="F8" s="58" t="s">
        <v>163</v>
      </c>
      <c r="G8" s="59" t="str">
        <f t="shared" si="0"/>
        <v>..,..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1:23" s="26" customFormat="1" ht="18.75" customHeight="1" x14ac:dyDescent="0.3">
      <c r="A9" s="84"/>
      <c r="B9" s="38" t="s">
        <v>167</v>
      </c>
      <c r="C9" s="58" t="s">
        <v>163</v>
      </c>
      <c r="D9" s="58" t="s">
        <v>163</v>
      </c>
      <c r="E9" s="58" t="s">
        <v>163</v>
      </c>
      <c r="F9" s="58" t="s">
        <v>163</v>
      </c>
      <c r="G9" s="59" t="str">
        <f t="shared" si="0"/>
        <v>..,..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3" s="26" customFormat="1" ht="18.75" customHeight="1" x14ac:dyDescent="0.3">
      <c r="A10" s="84"/>
      <c r="B10" s="38" t="s">
        <v>168</v>
      </c>
      <c r="C10" s="58" t="s">
        <v>163</v>
      </c>
      <c r="D10" s="58" t="s">
        <v>163</v>
      </c>
      <c r="E10" s="58" t="s">
        <v>163</v>
      </c>
      <c r="F10" s="58" t="s">
        <v>163</v>
      </c>
      <c r="G10" s="59" t="str">
        <f t="shared" si="0"/>
        <v>..,..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1:23" s="26" customFormat="1" ht="18.75" customHeight="1" x14ac:dyDescent="0.3">
      <c r="A11" s="84"/>
      <c r="B11" s="38" t="s">
        <v>169</v>
      </c>
      <c r="C11" s="58" t="s">
        <v>163</v>
      </c>
      <c r="D11" s="58" t="s">
        <v>163</v>
      </c>
      <c r="E11" s="58" t="s">
        <v>163</v>
      </c>
      <c r="F11" s="58" t="s">
        <v>163</v>
      </c>
      <c r="G11" s="59" t="str">
        <f t="shared" si="0"/>
        <v>..,..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</row>
    <row r="12" spans="1:23" s="26" customFormat="1" ht="18.75" customHeight="1" x14ac:dyDescent="0.3">
      <c r="A12" s="84"/>
      <c r="B12" s="38" t="s">
        <v>170</v>
      </c>
      <c r="C12" s="58" t="s">
        <v>163</v>
      </c>
      <c r="D12" s="58" t="s">
        <v>163</v>
      </c>
      <c r="E12" s="58" t="s">
        <v>163</v>
      </c>
      <c r="F12" s="58" t="s">
        <v>163</v>
      </c>
      <c r="G12" s="59" t="str">
        <f t="shared" si="0"/>
        <v>..,..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</row>
    <row r="13" spans="1:23" s="26" customFormat="1" ht="18.75" customHeight="1" x14ac:dyDescent="0.3">
      <c r="A13" s="84"/>
      <c r="B13" s="38" t="s">
        <v>171</v>
      </c>
      <c r="C13" s="58" t="s">
        <v>163</v>
      </c>
      <c r="D13" s="58" t="s">
        <v>163</v>
      </c>
      <c r="E13" s="58" t="s">
        <v>163</v>
      </c>
      <c r="F13" s="58" t="s">
        <v>163</v>
      </c>
      <c r="G13" s="59" t="str">
        <f t="shared" si="0"/>
        <v>..,..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</row>
    <row r="14" spans="1:23" s="26" customFormat="1" ht="18.75" customHeight="1" x14ac:dyDescent="0.3">
      <c r="A14" s="84"/>
      <c r="B14" s="38" t="s">
        <v>172</v>
      </c>
      <c r="C14" s="58" t="s">
        <v>163</v>
      </c>
      <c r="D14" s="58" t="s">
        <v>163</v>
      </c>
      <c r="E14" s="58" t="s">
        <v>163</v>
      </c>
      <c r="F14" s="58" t="s">
        <v>163</v>
      </c>
      <c r="G14" s="59" t="str">
        <f t="shared" si="0"/>
        <v>..,..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s="26" customFormat="1" ht="18.75" customHeight="1" x14ac:dyDescent="0.3">
      <c r="A15" s="84"/>
      <c r="B15" s="38" t="s">
        <v>173</v>
      </c>
      <c r="C15" s="58" t="s">
        <v>163</v>
      </c>
      <c r="D15" s="58" t="s">
        <v>163</v>
      </c>
      <c r="E15" s="58" t="s">
        <v>163</v>
      </c>
      <c r="F15" s="58" t="s">
        <v>163</v>
      </c>
      <c r="G15" s="59" t="str">
        <f t="shared" si="0"/>
        <v>..,..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1:23" s="26" customFormat="1" ht="18.75" customHeight="1" x14ac:dyDescent="0.3">
      <c r="A16" s="84"/>
      <c r="B16" s="38" t="s">
        <v>174</v>
      </c>
      <c r="C16" s="58" t="s">
        <v>163</v>
      </c>
      <c r="D16" s="58" t="s">
        <v>163</v>
      </c>
      <c r="E16" s="58" t="s">
        <v>163</v>
      </c>
      <c r="F16" s="58" t="s">
        <v>163</v>
      </c>
      <c r="G16" s="59" t="str">
        <f t="shared" si="0"/>
        <v>..,..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s="27" customFormat="1" ht="18.75" customHeight="1" x14ac:dyDescent="0.3">
      <c r="A17" s="84"/>
      <c r="B17" s="39" t="s">
        <v>175</v>
      </c>
      <c r="C17" s="58" t="s">
        <v>163</v>
      </c>
      <c r="D17" s="58" t="s">
        <v>163</v>
      </c>
      <c r="E17" s="58" t="s">
        <v>163</v>
      </c>
      <c r="F17" s="58" t="s">
        <v>163</v>
      </c>
      <c r="G17" s="59" t="str">
        <f t="shared" si="0"/>
        <v>..,..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3" s="26" customFormat="1" ht="18.75" customHeight="1" x14ac:dyDescent="0.3">
      <c r="A18" s="84"/>
      <c r="B18" s="38" t="s">
        <v>176</v>
      </c>
      <c r="C18" s="58" t="s">
        <v>163</v>
      </c>
      <c r="D18" s="58" t="s">
        <v>163</v>
      </c>
      <c r="E18" s="58" t="s">
        <v>163</v>
      </c>
      <c r="F18" s="58" t="s">
        <v>163</v>
      </c>
      <c r="G18" s="59" t="str">
        <f t="shared" si="0"/>
        <v>..,..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1:23" s="26" customFormat="1" ht="18.75" customHeight="1" x14ac:dyDescent="0.3">
      <c r="A19" s="84"/>
      <c r="B19" s="38" t="s">
        <v>177</v>
      </c>
      <c r="C19" s="58" t="s">
        <v>163</v>
      </c>
      <c r="D19" s="58" t="s">
        <v>163</v>
      </c>
      <c r="E19" s="58" t="s">
        <v>163</v>
      </c>
      <c r="F19" s="58" t="s">
        <v>163</v>
      </c>
      <c r="G19" s="59" t="str">
        <f t="shared" si="0"/>
        <v>..,..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</row>
    <row r="20" spans="1:23" s="26" customFormat="1" ht="18.75" customHeight="1" x14ac:dyDescent="0.3">
      <c r="A20" s="84"/>
      <c r="B20" s="38" t="s">
        <v>178</v>
      </c>
      <c r="C20" s="58" t="s">
        <v>163</v>
      </c>
      <c r="D20" s="58" t="s">
        <v>163</v>
      </c>
      <c r="E20" s="58" t="s">
        <v>163</v>
      </c>
      <c r="F20" s="58" t="s">
        <v>163</v>
      </c>
      <c r="G20" s="59" t="str">
        <f t="shared" si="0"/>
        <v>..,..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  <row r="21" spans="1:23" s="26" customFormat="1" ht="18.75" customHeight="1" x14ac:dyDescent="0.3">
      <c r="A21" s="84"/>
      <c r="B21" s="38" t="s">
        <v>179</v>
      </c>
      <c r="C21" s="58" t="s">
        <v>163</v>
      </c>
      <c r="D21" s="58" t="s">
        <v>163</v>
      </c>
      <c r="E21" s="58" t="s">
        <v>163</v>
      </c>
      <c r="F21" s="58" t="s">
        <v>163</v>
      </c>
      <c r="G21" s="59" t="str">
        <f t="shared" si="0"/>
        <v>..,..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</row>
    <row r="22" spans="1:23" s="26" customFormat="1" ht="18.75" customHeight="1" x14ac:dyDescent="0.3">
      <c r="A22" s="84"/>
      <c r="B22" s="38" t="s">
        <v>180</v>
      </c>
      <c r="C22" s="58" t="s">
        <v>163</v>
      </c>
      <c r="D22" s="58" t="s">
        <v>163</v>
      </c>
      <c r="E22" s="58" t="s">
        <v>163</v>
      </c>
      <c r="F22" s="58" t="s">
        <v>163</v>
      </c>
      <c r="G22" s="59" t="str">
        <f t="shared" si="0"/>
        <v>..,..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3" s="26" customFormat="1" ht="18.75" customHeight="1" x14ac:dyDescent="0.3">
      <c r="A23" s="84"/>
      <c r="B23" s="38" t="s">
        <v>181</v>
      </c>
      <c r="C23" s="58" t="s">
        <v>163</v>
      </c>
      <c r="D23" s="58" t="s">
        <v>163</v>
      </c>
      <c r="E23" s="58" t="s">
        <v>163</v>
      </c>
      <c r="F23" s="58" t="s">
        <v>163</v>
      </c>
      <c r="G23" s="59" t="str">
        <f t="shared" si="0"/>
        <v>..,..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</row>
    <row r="24" spans="1:23" s="26" customFormat="1" ht="18.75" customHeight="1" x14ac:dyDescent="0.3">
      <c r="A24" s="84"/>
      <c r="B24" s="38" t="s">
        <v>182</v>
      </c>
      <c r="C24" s="58" t="s">
        <v>163</v>
      </c>
      <c r="D24" s="58" t="s">
        <v>163</v>
      </c>
      <c r="E24" s="58" t="s">
        <v>163</v>
      </c>
      <c r="F24" s="58" t="s">
        <v>163</v>
      </c>
      <c r="G24" s="59" t="str">
        <f t="shared" si="0"/>
        <v>..,..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</row>
    <row r="25" spans="1:23" s="26" customFormat="1" ht="18.75" customHeight="1" x14ac:dyDescent="0.3">
      <c r="A25" s="84"/>
      <c r="B25" s="38" t="s">
        <v>183</v>
      </c>
      <c r="C25" s="58" t="s">
        <v>163</v>
      </c>
      <c r="D25" s="58" t="s">
        <v>163</v>
      </c>
      <c r="E25" s="58" t="s">
        <v>163</v>
      </c>
      <c r="F25" s="58" t="s">
        <v>163</v>
      </c>
      <c r="G25" s="59" t="str">
        <f t="shared" si="0"/>
        <v>..,..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</row>
    <row r="26" spans="1:23" s="26" customFormat="1" ht="18.75" customHeight="1" thickBot="1" x14ac:dyDescent="0.35">
      <c r="A26" s="85"/>
      <c r="B26" s="40" t="s">
        <v>184</v>
      </c>
      <c r="C26" s="58" t="s">
        <v>163</v>
      </c>
      <c r="D26" s="58" t="s">
        <v>163</v>
      </c>
      <c r="E26" s="58" t="s">
        <v>163</v>
      </c>
      <c r="F26" s="58" t="s">
        <v>163</v>
      </c>
      <c r="G26" s="60" t="str">
        <f t="shared" si="0"/>
        <v>..,..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</row>
    <row r="27" spans="1:23" s="24" customFormat="1" ht="35.25" customHeight="1" thickBot="1" x14ac:dyDescent="0.35">
      <c r="A27" s="41">
        <v>2</v>
      </c>
      <c r="B27" s="42" t="s">
        <v>190</v>
      </c>
      <c r="C27" s="61" t="s">
        <v>163</v>
      </c>
      <c r="D27" s="62" t="s">
        <v>163</v>
      </c>
      <c r="E27" s="62" t="s">
        <v>163</v>
      </c>
      <c r="F27" s="62" t="str">
        <f t="shared" ref="F27" si="1">C27</f>
        <v>..,..</v>
      </c>
      <c r="G27" s="63" t="str">
        <f t="shared" si="0"/>
        <v>..,..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1:23" s="24" customFormat="1" ht="35.25" customHeight="1" thickBot="1" x14ac:dyDescent="0.35">
      <c r="A28" s="43">
        <v>3</v>
      </c>
      <c r="B28" s="44" t="s">
        <v>192</v>
      </c>
      <c r="C28" s="61" t="s">
        <v>163</v>
      </c>
      <c r="D28" s="61" t="s">
        <v>163</v>
      </c>
      <c r="E28" s="61" t="s">
        <v>163</v>
      </c>
      <c r="F28" s="61" t="s">
        <v>163</v>
      </c>
      <c r="G28" s="61" t="s">
        <v>185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</row>
    <row r="29" spans="1:23" s="28" customFormat="1" ht="35.25" customHeight="1" thickBot="1" x14ac:dyDescent="0.35">
      <c r="A29" s="65">
        <v>4</v>
      </c>
      <c r="B29" s="66" t="s">
        <v>191</v>
      </c>
      <c r="C29" s="61" t="s">
        <v>163</v>
      </c>
      <c r="D29" s="61" t="s">
        <v>163</v>
      </c>
      <c r="E29" s="61" t="s">
        <v>163</v>
      </c>
      <c r="F29" s="61" t="s">
        <v>163</v>
      </c>
      <c r="G29" s="61" t="s">
        <v>163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</row>
    <row r="30" spans="1:23" s="24" customFormat="1" ht="35.25" customHeight="1" thickBot="1" x14ac:dyDescent="0.35">
      <c r="A30" s="67">
        <v>5</v>
      </c>
      <c r="B30" s="68" t="s">
        <v>186</v>
      </c>
      <c r="C30" s="61" t="s">
        <v>163</v>
      </c>
      <c r="D30" s="61" t="s">
        <v>163</v>
      </c>
      <c r="E30" s="61" t="s">
        <v>163</v>
      </c>
      <c r="F30" s="61" t="s">
        <v>163</v>
      </c>
      <c r="G30" s="61" t="s">
        <v>163</v>
      </c>
    </row>
    <row r="31" spans="1:23" s="28" customFormat="1" ht="39" customHeight="1" thickBot="1" x14ac:dyDescent="0.35">
      <c r="A31" s="45">
        <v>6</v>
      </c>
      <c r="B31" s="46" t="s">
        <v>193</v>
      </c>
      <c r="C31" s="61" t="s">
        <v>163</v>
      </c>
      <c r="D31" s="61" t="s">
        <v>163</v>
      </c>
      <c r="E31" s="61" t="s">
        <v>163</v>
      </c>
      <c r="F31" s="61" t="s">
        <v>185</v>
      </c>
      <c r="G31" s="61" t="s">
        <v>185</v>
      </c>
    </row>
    <row r="32" spans="1:23" s="24" customFormat="1" ht="35.25" customHeight="1" thickBot="1" x14ac:dyDescent="0.35">
      <c r="A32" s="47">
        <v>7</v>
      </c>
      <c r="B32" s="48" t="s">
        <v>194</v>
      </c>
      <c r="C32" s="49" t="s">
        <v>163</v>
      </c>
      <c r="D32" s="49" t="s">
        <v>163</v>
      </c>
      <c r="E32" s="49" t="s">
        <v>163</v>
      </c>
      <c r="F32" s="49" t="s">
        <v>163</v>
      </c>
      <c r="G32" s="49" t="s">
        <v>163</v>
      </c>
    </row>
    <row r="33" spans="1:7" s="24" customFormat="1" ht="42" customHeight="1" thickBot="1" x14ac:dyDescent="0.35">
      <c r="A33" s="50">
        <v>8</v>
      </c>
      <c r="B33" s="51" t="s">
        <v>195</v>
      </c>
      <c r="C33" s="49" t="s">
        <v>163</v>
      </c>
      <c r="D33" s="49" t="s">
        <v>163</v>
      </c>
      <c r="E33" s="49" t="s">
        <v>163</v>
      </c>
      <c r="F33" s="49" t="s">
        <v>163</v>
      </c>
      <c r="G33" s="49" t="s">
        <v>163</v>
      </c>
    </row>
    <row r="34" spans="1:7" s="24" customFormat="1" ht="24.75" customHeight="1" x14ac:dyDescent="0.3">
      <c r="D34" s="32"/>
      <c r="E34" s="32"/>
      <c r="F34" s="32"/>
      <c r="G34" s="32"/>
    </row>
    <row r="35" spans="1:7" s="24" customFormat="1" ht="15.6" customHeight="1" x14ac:dyDescent="0.3">
      <c r="D35" s="32"/>
      <c r="E35" s="32"/>
      <c r="F35" s="32"/>
      <c r="G35" s="32"/>
    </row>
    <row r="36" spans="1:7" s="28" customFormat="1" ht="33" customHeight="1" x14ac:dyDescent="0.3">
      <c r="C36" s="31"/>
      <c r="D36" s="33"/>
      <c r="E36" s="33"/>
      <c r="F36" s="34"/>
      <c r="G36" s="33"/>
    </row>
    <row r="37" spans="1:7" s="28" customFormat="1" ht="15.6" customHeight="1" x14ac:dyDescent="0.3">
      <c r="C37" s="31"/>
      <c r="D37" s="33"/>
      <c r="E37" s="33"/>
      <c r="F37" s="33"/>
      <c r="G37" s="33"/>
    </row>
    <row r="38" spans="1:7" s="30" customFormat="1" x14ac:dyDescent="0.3">
      <c r="C38" s="28"/>
      <c r="D38" s="28"/>
      <c r="E38" s="28"/>
      <c r="F38" s="28"/>
      <c r="G38" s="28"/>
    </row>
    <row r="39" spans="1:7" s="30" customFormat="1" x14ac:dyDescent="0.3">
      <c r="C39" s="28"/>
      <c r="D39" s="28"/>
      <c r="E39" s="28"/>
      <c r="F39" s="28"/>
      <c r="G39" s="28"/>
    </row>
    <row r="40" spans="1:7" s="30" customFormat="1" x14ac:dyDescent="0.3">
      <c r="C40" s="28"/>
      <c r="D40" s="28"/>
      <c r="E40" s="28"/>
      <c r="F40" s="28"/>
      <c r="G40" s="28"/>
    </row>
    <row r="50" spans="4:5" x14ac:dyDescent="0.3">
      <c r="D50" s="64"/>
      <c r="E50" s="64"/>
    </row>
    <row r="51" spans="4:5" x14ac:dyDescent="0.3">
      <c r="D51" s="64"/>
      <c r="E51" s="64"/>
    </row>
  </sheetData>
  <mergeCells count="3">
    <mergeCell ref="A1:G1"/>
    <mergeCell ref="A4:C4"/>
    <mergeCell ref="A5:A26"/>
  </mergeCells>
  <pageMargins left="0.70866141732283472" right="0.70866141732283472" top="0.15748031496062992" bottom="0.74803149606299213" header="0.31496062992125984" footer="0.31496062992125984"/>
  <pageSetup paperSize="9" scale="61" orientation="landscape" r:id="rId1"/>
  <headerFooter>
    <oddHeader>&amp;RZałącznik Nr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I240"/>
  <sheetViews>
    <sheetView topLeftCell="A229" zoomScale="80" zoomScaleNormal="80" workbookViewId="0">
      <selection activeCell="V234" sqref="V234"/>
    </sheetView>
  </sheetViews>
  <sheetFormatPr defaultRowHeight="14.4" x14ac:dyDescent="0.3"/>
  <cols>
    <col min="1" max="1" width="9.109375" style="2"/>
    <col min="2" max="2" width="45.33203125" style="16" bestFit="1" customWidth="1"/>
    <col min="3" max="9" width="21.6640625" customWidth="1"/>
  </cols>
  <sheetData>
    <row r="1" spans="1:9" s="19" customFormat="1" ht="60" customHeight="1" x14ac:dyDescent="0.3">
      <c r="A1" s="89" t="s">
        <v>156</v>
      </c>
      <c r="B1" s="89"/>
      <c r="C1" s="89"/>
      <c r="D1" s="89"/>
      <c r="E1" s="89"/>
      <c r="F1" s="89"/>
      <c r="G1" s="89"/>
      <c r="H1" s="89"/>
      <c r="I1" s="89"/>
    </row>
    <row r="3" spans="1:9" ht="114" customHeight="1" x14ac:dyDescent="0.3">
      <c r="A3" s="3" t="s">
        <v>0</v>
      </c>
      <c r="B3" s="4" t="s">
        <v>1</v>
      </c>
      <c r="C3" s="7" t="s">
        <v>138</v>
      </c>
      <c r="D3" s="7" t="s">
        <v>139</v>
      </c>
      <c r="E3" s="7" t="s">
        <v>140</v>
      </c>
      <c r="F3" s="7" t="s">
        <v>141</v>
      </c>
      <c r="G3" s="7" t="s">
        <v>142</v>
      </c>
      <c r="H3" s="7" t="s">
        <v>143</v>
      </c>
      <c r="I3" s="7" t="s">
        <v>144</v>
      </c>
    </row>
    <row r="4" spans="1:9" ht="30" customHeight="1" x14ac:dyDescent="0.3">
      <c r="A4" s="71">
        <v>1</v>
      </c>
      <c r="B4" s="72" t="s">
        <v>8</v>
      </c>
      <c r="C4" s="8">
        <v>0.77</v>
      </c>
      <c r="D4" s="8">
        <v>0.77</v>
      </c>
      <c r="E4" s="8">
        <v>0.77</v>
      </c>
      <c r="F4" s="8">
        <v>0.77</v>
      </c>
      <c r="G4" s="8">
        <v>0.77</v>
      </c>
      <c r="H4" s="8">
        <v>0.77</v>
      </c>
      <c r="I4" s="8">
        <v>0.77</v>
      </c>
    </row>
    <row r="5" spans="1:9" ht="65.099999999999994" customHeight="1" x14ac:dyDescent="0.3">
      <c r="A5" s="71"/>
      <c r="B5" s="72"/>
      <c r="C5" s="86"/>
      <c r="D5" s="87"/>
      <c r="E5" s="87"/>
      <c r="F5" s="87"/>
      <c r="G5" s="87"/>
      <c r="H5" s="87"/>
      <c r="I5" s="88"/>
    </row>
    <row r="6" spans="1:9" ht="30" customHeight="1" x14ac:dyDescent="0.3">
      <c r="A6" s="71">
        <v>2</v>
      </c>
      <c r="B6" s="72" t="s">
        <v>9</v>
      </c>
      <c r="C6" s="8">
        <v>0.77</v>
      </c>
      <c r="D6" s="8">
        <v>0.77</v>
      </c>
      <c r="E6" s="8">
        <v>0.77</v>
      </c>
      <c r="F6" s="8">
        <v>0.77</v>
      </c>
      <c r="G6" s="8">
        <v>0.77</v>
      </c>
      <c r="H6" s="8">
        <v>0.77</v>
      </c>
      <c r="I6" s="8">
        <v>0.77</v>
      </c>
    </row>
    <row r="7" spans="1:9" ht="65.099999999999994" customHeight="1" x14ac:dyDescent="0.3">
      <c r="A7" s="71"/>
      <c r="B7" s="72"/>
      <c r="C7" s="77"/>
      <c r="D7" s="78"/>
      <c r="E7" s="78"/>
      <c r="F7" s="78"/>
      <c r="G7" s="78"/>
      <c r="H7" s="78"/>
      <c r="I7" s="79"/>
    </row>
    <row r="8" spans="1:9" ht="30" customHeight="1" x14ac:dyDescent="0.3">
      <c r="A8" s="71">
        <v>3</v>
      </c>
      <c r="B8" s="72" t="s">
        <v>10</v>
      </c>
      <c r="C8" s="8">
        <v>0.77</v>
      </c>
      <c r="D8" s="8">
        <v>0.77</v>
      </c>
      <c r="E8" s="8">
        <v>0.77</v>
      </c>
      <c r="F8" s="8">
        <v>0.77</v>
      </c>
      <c r="G8" s="8">
        <v>0.77</v>
      </c>
      <c r="H8" s="8">
        <v>0.77</v>
      </c>
      <c r="I8" s="8">
        <v>0.77</v>
      </c>
    </row>
    <row r="9" spans="1:9" ht="65.099999999999994" customHeight="1" x14ac:dyDescent="0.3">
      <c r="A9" s="71"/>
      <c r="B9" s="72"/>
      <c r="C9" s="77"/>
      <c r="D9" s="78"/>
      <c r="E9" s="78"/>
      <c r="F9" s="78"/>
      <c r="G9" s="78"/>
      <c r="H9" s="78"/>
      <c r="I9" s="79"/>
    </row>
    <row r="10" spans="1:9" ht="30" customHeight="1" x14ac:dyDescent="0.3">
      <c r="A10" s="71">
        <v>4</v>
      </c>
      <c r="B10" s="72" t="s">
        <v>11</v>
      </c>
      <c r="C10" s="8">
        <v>0.77</v>
      </c>
      <c r="D10" s="8">
        <v>0.77</v>
      </c>
      <c r="E10" s="8">
        <v>0.77</v>
      </c>
      <c r="F10" s="8">
        <v>0.77</v>
      </c>
      <c r="G10" s="8">
        <v>0.77</v>
      </c>
      <c r="H10" s="8">
        <v>0.77</v>
      </c>
      <c r="I10" s="8">
        <v>0.77</v>
      </c>
    </row>
    <row r="11" spans="1:9" ht="65.099999999999994" customHeight="1" x14ac:dyDescent="0.3">
      <c r="A11" s="71"/>
      <c r="B11" s="72"/>
      <c r="C11" s="77"/>
      <c r="D11" s="78"/>
      <c r="E11" s="78"/>
      <c r="F11" s="78"/>
      <c r="G11" s="78"/>
      <c r="H11" s="78"/>
      <c r="I11" s="79"/>
    </row>
    <row r="12" spans="1:9" ht="30" customHeight="1" x14ac:dyDescent="0.3">
      <c r="A12" s="71">
        <v>5</v>
      </c>
      <c r="B12" s="72" t="s">
        <v>12</v>
      </c>
      <c r="C12" s="8">
        <v>0.77</v>
      </c>
      <c r="D12" s="8">
        <v>0.77</v>
      </c>
      <c r="E12" s="8">
        <v>0.77</v>
      </c>
      <c r="F12" s="8">
        <v>0.77</v>
      </c>
      <c r="G12" s="8">
        <v>0.77</v>
      </c>
      <c r="H12" s="8">
        <v>0.77</v>
      </c>
      <c r="I12" s="8">
        <v>0.77</v>
      </c>
    </row>
    <row r="13" spans="1:9" ht="65.099999999999994" customHeight="1" x14ac:dyDescent="0.3">
      <c r="A13" s="71"/>
      <c r="B13" s="72"/>
      <c r="C13" s="77"/>
      <c r="D13" s="78"/>
      <c r="E13" s="78"/>
      <c r="F13" s="78"/>
      <c r="G13" s="78"/>
      <c r="H13" s="78"/>
      <c r="I13" s="79"/>
    </row>
    <row r="14" spans="1:9" ht="30" customHeight="1" x14ac:dyDescent="0.3">
      <c r="A14" s="71">
        <v>6</v>
      </c>
      <c r="B14" s="72" t="s">
        <v>13</v>
      </c>
      <c r="C14" s="8">
        <v>0.77</v>
      </c>
      <c r="D14" s="8">
        <v>0.77</v>
      </c>
      <c r="E14" s="8">
        <v>0.77</v>
      </c>
      <c r="F14" s="8">
        <v>0.77</v>
      </c>
      <c r="G14" s="8">
        <v>0.77</v>
      </c>
      <c r="H14" s="8">
        <v>0.77</v>
      </c>
      <c r="I14" s="8">
        <v>0.77</v>
      </c>
    </row>
    <row r="15" spans="1:9" ht="65.099999999999994" customHeight="1" x14ac:dyDescent="0.3">
      <c r="A15" s="71"/>
      <c r="B15" s="72"/>
      <c r="C15" s="77"/>
      <c r="D15" s="78"/>
      <c r="E15" s="78"/>
      <c r="F15" s="78"/>
      <c r="G15" s="78"/>
      <c r="H15" s="78"/>
      <c r="I15" s="79"/>
    </row>
    <row r="16" spans="1:9" ht="30" customHeight="1" x14ac:dyDescent="0.3">
      <c r="A16" s="71">
        <v>7</v>
      </c>
      <c r="B16" s="72" t="s">
        <v>14</v>
      </c>
      <c r="C16" s="8">
        <v>0.77</v>
      </c>
      <c r="D16" s="8">
        <v>0.77</v>
      </c>
      <c r="E16" s="8">
        <v>0.77</v>
      </c>
      <c r="F16" s="8">
        <v>0.77</v>
      </c>
      <c r="G16" s="8">
        <v>0.77</v>
      </c>
      <c r="H16" s="8">
        <v>0.77</v>
      </c>
      <c r="I16" s="8">
        <v>0.96</v>
      </c>
    </row>
    <row r="17" spans="1:9" ht="65.099999999999994" customHeight="1" x14ac:dyDescent="0.3">
      <c r="A17" s="71"/>
      <c r="B17" s="72"/>
      <c r="C17" s="77"/>
      <c r="D17" s="78"/>
      <c r="E17" s="78"/>
      <c r="F17" s="78"/>
      <c r="G17" s="78"/>
      <c r="H17" s="78"/>
      <c r="I17" s="79"/>
    </row>
    <row r="18" spans="1:9" ht="30" customHeight="1" x14ac:dyDescent="0.3">
      <c r="A18" s="71">
        <v>8</v>
      </c>
      <c r="B18" s="72" t="s">
        <v>15</v>
      </c>
      <c r="C18" s="8">
        <v>0.77</v>
      </c>
      <c r="D18" s="8">
        <v>0.77</v>
      </c>
      <c r="E18" s="8">
        <v>0.77</v>
      </c>
      <c r="F18" s="8">
        <v>0.77</v>
      </c>
      <c r="G18" s="8">
        <v>0.77</v>
      </c>
      <c r="H18" s="8">
        <v>0.77</v>
      </c>
      <c r="I18" s="9">
        <v>1.4</v>
      </c>
    </row>
    <row r="19" spans="1:9" ht="65.099999999999994" customHeight="1" x14ac:dyDescent="0.3">
      <c r="A19" s="71"/>
      <c r="B19" s="72"/>
      <c r="C19" s="77"/>
      <c r="D19" s="78"/>
      <c r="E19" s="78"/>
      <c r="F19" s="78"/>
      <c r="G19" s="78"/>
      <c r="H19" s="78"/>
      <c r="I19" s="79"/>
    </row>
    <row r="20" spans="1:9" ht="30" customHeight="1" x14ac:dyDescent="0.3">
      <c r="A20" s="71">
        <v>9</v>
      </c>
      <c r="B20" s="72" t="s">
        <v>16</v>
      </c>
      <c r="C20" s="8">
        <v>0.77</v>
      </c>
      <c r="D20" s="8">
        <v>0.77</v>
      </c>
      <c r="E20" s="8">
        <v>0.77</v>
      </c>
      <c r="F20" s="8">
        <v>0.77</v>
      </c>
      <c r="G20" s="8">
        <v>0.77</v>
      </c>
      <c r="H20" s="8">
        <v>0.77</v>
      </c>
      <c r="I20" s="8">
        <v>0.77</v>
      </c>
    </row>
    <row r="21" spans="1:9" ht="65.099999999999994" customHeight="1" x14ac:dyDescent="0.3">
      <c r="A21" s="71"/>
      <c r="B21" s="72"/>
      <c r="C21" s="77"/>
      <c r="D21" s="78"/>
      <c r="E21" s="78"/>
      <c r="F21" s="78"/>
      <c r="G21" s="78"/>
      <c r="H21" s="78"/>
      <c r="I21" s="79"/>
    </row>
    <row r="22" spans="1:9" ht="30" customHeight="1" x14ac:dyDescent="0.3">
      <c r="A22" s="71">
        <v>10</v>
      </c>
      <c r="B22" s="72" t="s">
        <v>17</v>
      </c>
      <c r="C22" s="8">
        <v>0.77</v>
      </c>
      <c r="D22" s="8">
        <v>0.77</v>
      </c>
      <c r="E22" s="8">
        <v>0.77</v>
      </c>
      <c r="F22" s="8">
        <v>0.77</v>
      </c>
      <c r="G22" s="8">
        <v>0.77</v>
      </c>
      <c r="H22" s="8">
        <v>0.77</v>
      </c>
      <c r="I22" s="8">
        <v>0.77</v>
      </c>
    </row>
    <row r="23" spans="1:9" ht="65.099999999999994" customHeight="1" x14ac:dyDescent="0.3">
      <c r="A23" s="71"/>
      <c r="B23" s="72"/>
      <c r="C23" s="77"/>
      <c r="D23" s="78"/>
      <c r="E23" s="78"/>
      <c r="F23" s="78"/>
      <c r="G23" s="78"/>
      <c r="H23" s="78"/>
      <c r="I23" s="79"/>
    </row>
    <row r="24" spans="1:9" ht="30" customHeight="1" x14ac:dyDescent="0.3">
      <c r="A24" s="71">
        <v>11</v>
      </c>
      <c r="B24" s="72" t="s">
        <v>18</v>
      </c>
      <c r="C24" s="8">
        <v>0.77</v>
      </c>
      <c r="D24" s="8">
        <v>0.77</v>
      </c>
      <c r="E24" s="8">
        <v>0.77</v>
      </c>
      <c r="F24" s="8">
        <v>0.77</v>
      </c>
      <c r="G24" s="8">
        <v>0.77</v>
      </c>
      <c r="H24" s="8">
        <v>0.77</v>
      </c>
      <c r="I24" s="8">
        <v>0.77</v>
      </c>
    </row>
    <row r="25" spans="1:9" ht="65.099999999999994" customHeight="1" x14ac:dyDescent="0.3">
      <c r="A25" s="71"/>
      <c r="B25" s="72"/>
      <c r="C25" s="77"/>
      <c r="D25" s="78"/>
      <c r="E25" s="78"/>
      <c r="F25" s="78"/>
      <c r="G25" s="78"/>
      <c r="H25" s="78"/>
      <c r="I25" s="79"/>
    </row>
    <row r="26" spans="1:9" ht="30" customHeight="1" x14ac:dyDescent="0.3">
      <c r="A26" s="71">
        <v>12</v>
      </c>
      <c r="B26" s="72" t="s">
        <v>19</v>
      </c>
      <c r="C26" s="8">
        <v>0.77</v>
      </c>
      <c r="D26" s="8">
        <v>0.77</v>
      </c>
      <c r="E26" s="8">
        <v>0.77</v>
      </c>
      <c r="F26" s="8">
        <v>0.77</v>
      </c>
      <c r="G26" s="8">
        <v>0.77</v>
      </c>
      <c r="H26" s="8">
        <v>0.77</v>
      </c>
      <c r="I26" s="8">
        <v>0.77</v>
      </c>
    </row>
    <row r="27" spans="1:9" ht="65.099999999999994" customHeight="1" x14ac:dyDescent="0.3">
      <c r="A27" s="71"/>
      <c r="B27" s="72"/>
      <c r="C27" s="77"/>
      <c r="D27" s="78"/>
      <c r="E27" s="78"/>
      <c r="F27" s="78"/>
      <c r="G27" s="78"/>
      <c r="H27" s="78"/>
      <c r="I27" s="79"/>
    </row>
    <row r="28" spans="1:9" ht="30" customHeight="1" x14ac:dyDescent="0.3">
      <c r="A28" s="71">
        <v>13</v>
      </c>
      <c r="B28" s="72" t="s">
        <v>20</v>
      </c>
      <c r="C28" s="8">
        <v>0.77</v>
      </c>
      <c r="D28" s="8">
        <v>0.77</v>
      </c>
      <c r="E28" s="8">
        <v>0.77</v>
      </c>
      <c r="F28" s="8">
        <v>0.77</v>
      </c>
      <c r="G28" s="8">
        <v>0.77</v>
      </c>
      <c r="H28" s="8">
        <v>0.77</v>
      </c>
      <c r="I28" s="8">
        <v>0.77</v>
      </c>
    </row>
    <row r="29" spans="1:9" ht="65.099999999999994" customHeight="1" x14ac:dyDescent="0.3">
      <c r="A29" s="71"/>
      <c r="B29" s="72"/>
      <c r="C29" s="77"/>
      <c r="D29" s="78"/>
      <c r="E29" s="78"/>
      <c r="F29" s="78"/>
      <c r="G29" s="78"/>
      <c r="H29" s="78"/>
      <c r="I29" s="79"/>
    </row>
    <row r="30" spans="1:9" ht="30" customHeight="1" x14ac:dyDescent="0.3">
      <c r="A30" s="71">
        <v>14</v>
      </c>
      <c r="B30" s="72" t="s">
        <v>21</v>
      </c>
      <c r="C30" s="8">
        <v>0.77</v>
      </c>
      <c r="D30" s="8">
        <v>0.77</v>
      </c>
      <c r="E30" s="8">
        <v>0.77</v>
      </c>
      <c r="F30" s="8">
        <v>0.77</v>
      </c>
      <c r="G30" s="8">
        <v>0.77</v>
      </c>
      <c r="H30" s="8">
        <v>0.77</v>
      </c>
      <c r="I30" s="8">
        <v>0.77</v>
      </c>
    </row>
    <row r="31" spans="1:9" ht="65.099999999999994" customHeight="1" x14ac:dyDescent="0.3">
      <c r="A31" s="71"/>
      <c r="B31" s="72"/>
      <c r="C31" s="77"/>
      <c r="D31" s="78"/>
      <c r="E31" s="78"/>
      <c r="F31" s="78"/>
      <c r="G31" s="78"/>
      <c r="H31" s="78"/>
      <c r="I31" s="79"/>
    </row>
    <row r="32" spans="1:9" ht="30" customHeight="1" x14ac:dyDescent="0.3">
      <c r="A32" s="71">
        <v>15</v>
      </c>
      <c r="B32" s="72" t="s">
        <v>22</v>
      </c>
      <c r="C32" s="8">
        <v>0.77</v>
      </c>
      <c r="D32" s="8">
        <v>0.77</v>
      </c>
      <c r="E32" s="8">
        <v>0.77</v>
      </c>
      <c r="F32" s="8">
        <v>0.77</v>
      </c>
      <c r="G32" s="8">
        <v>0.77</v>
      </c>
      <c r="H32" s="8">
        <v>0.77</v>
      </c>
      <c r="I32" s="8">
        <v>0.77</v>
      </c>
    </row>
    <row r="33" spans="1:9" ht="65.099999999999994" customHeight="1" x14ac:dyDescent="0.3">
      <c r="A33" s="71"/>
      <c r="B33" s="72"/>
      <c r="C33" s="77"/>
      <c r="D33" s="78"/>
      <c r="E33" s="78"/>
      <c r="F33" s="78"/>
      <c r="G33" s="78"/>
      <c r="H33" s="78"/>
      <c r="I33" s="79"/>
    </row>
    <row r="34" spans="1:9" ht="30" customHeight="1" x14ac:dyDescent="0.3">
      <c r="A34" s="71">
        <v>16</v>
      </c>
      <c r="B34" s="72" t="s">
        <v>23</v>
      </c>
      <c r="C34" s="8">
        <v>0.77</v>
      </c>
      <c r="D34" s="8">
        <v>0.77</v>
      </c>
      <c r="E34" s="8">
        <v>0.77</v>
      </c>
      <c r="F34" s="8">
        <v>0.77</v>
      </c>
      <c r="G34" s="8">
        <v>0.77</v>
      </c>
      <c r="H34" s="8">
        <v>0.77</v>
      </c>
      <c r="I34" s="8">
        <v>0.77</v>
      </c>
    </row>
    <row r="35" spans="1:9" ht="65.099999999999994" customHeight="1" x14ac:dyDescent="0.3">
      <c r="A35" s="71"/>
      <c r="B35" s="72"/>
      <c r="C35" s="77"/>
      <c r="D35" s="78"/>
      <c r="E35" s="78"/>
      <c r="F35" s="78"/>
      <c r="G35" s="78"/>
      <c r="H35" s="78"/>
      <c r="I35" s="79"/>
    </row>
    <row r="36" spans="1:9" ht="30" customHeight="1" x14ac:dyDescent="0.3">
      <c r="A36" s="71">
        <v>17</v>
      </c>
      <c r="B36" s="72" t="s">
        <v>24</v>
      </c>
      <c r="C36" s="8">
        <v>0.77</v>
      </c>
      <c r="D36" s="8">
        <v>0.77</v>
      </c>
      <c r="E36" s="8">
        <v>0.77</v>
      </c>
      <c r="F36" s="8">
        <v>0.77</v>
      </c>
      <c r="G36" s="8">
        <v>0.77</v>
      </c>
      <c r="H36" s="8">
        <v>0.77</v>
      </c>
      <c r="I36" s="8">
        <v>0.77</v>
      </c>
    </row>
    <row r="37" spans="1:9" ht="65.099999999999994" customHeight="1" x14ac:dyDescent="0.3">
      <c r="A37" s="71"/>
      <c r="B37" s="72"/>
      <c r="C37" s="77"/>
      <c r="D37" s="78"/>
      <c r="E37" s="78"/>
      <c r="F37" s="78"/>
      <c r="G37" s="78"/>
      <c r="H37" s="78"/>
      <c r="I37" s="79"/>
    </row>
    <row r="38" spans="1:9" ht="30" customHeight="1" x14ac:dyDescent="0.3">
      <c r="A38" s="71">
        <v>18</v>
      </c>
      <c r="B38" s="72" t="s">
        <v>25</v>
      </c>
      <c r="C38" s="8">
        <v>0.77</v>
      </c>
      <c r="D38" s="8">
        <v>0.77</v>
      </c>
      <c r="E38" s="8">
        <v>0.77</v>
      </c>
      <c r="F38" s="8">
        <v>0.77</v>
      </c>
      <c r="G38" s="8">
        <v>0.77</v>
      </c>
      <c r="H38" s="8">
        <v>0.77</v>
      </c>
      <c r="I38" s="8">
        <v>0.77</v>
      </c>
    </row>
    <row r="39" spans="1:9" ht="65.099999999999994" customHeight="1" x14ac:dyDescent="0.3">
      <c r="A39" s="71"/>
      <c r="B39" s="72"/>
      <c r="C39" s="77"/>
      <c r="D39" s="78"/>
      <c r="E39" s="78"/>
      <c r="F39" s="78"/>
      <c r="G39" s="78"/>
      <c r="H39" s="78"/>
      <c r="I39" s="79"/>
    </row>
    <row r="40" spans="1:9" ht="30" customHeight="1" x14ac:dyDescent="0.3">
      <c r="A40" s="71">
        <v>19</v>
      </c>
      <c r="B40" s="72" t="s">
        <v>26</v>
      </c>
      <c r="C40" s="8">
        <v>0.77</v>
      </c>
      <c r="D40" s="8">
        <v>0.77</v>
      </c>
      <c r="E40" s="8">
        <v>0.77</v>
      </c>
      <c r="F40" s="8">
        <v>0.77</v>
      </c>
      <c r="G40" s="8">
        <v>0.77</v>
      </c>
      <c r="H40" s="8">
        <v>0.77</v>
      </c>
      <c r="I40" s="8">
        <v>0.77</v>
      </c>
    </row>
    <row r="41" spans="1:9" ht="65.099999999999994" customHeight="1" x14ac:dyDescent="0.3">
      <c r="A41" s="71"/>
      <c r="B41" s="72"/>
      <c r="C41" s="77"/>
      <c r="D41" s="78"/>
      <c r="E41" s="78"/>
      <c r="F41" s="78"/>
      <c r="G41" s="78"/>
      <c r="H41" s="78"/>
      <c r="I41" s="79"/>
    </row>
    <row r="42" spans="1:9" ht="30" customHeight="1" x14ac:dyDescent="0.3">
      <c r="A42" s="71">
        <v>20</v>
      </c>
      <c r="B42" s="72" t="s">
        <v>27</v>
      </c>
      <c r="C42" s="8">
        <v>0.77</v>
      </c>
      <c r="D42" s="8">
        <v>0.77</v>
      </c>
      <c r="E42" s="8">
        <v>0.77</v>
      </c>
      <c r="F42" s="8">
        <v>0.77</v>
      </c>
      <c r="G42" s="8">
        <v>0.77</v>
      </c>
      <c r="H42" s="8">
        <v>0.77</v>
      </c>
      <c r="I42" s="8">
        <v>0.77</v>
      </c>
    </row>
    <row r="43" spans="1:9" ht="65.099999999999994" customHeight="1" x14ac:dyDescent="0.3">
      <c r="A43" s="71"/>
      <c r="B43" s="72"/>
      <c r="C43" s="77"/>
      <c r="D43" s="78"/>
      <c r="E43" s="78"/>
      <c r="F43" s="78"/>
      <c r="G43" s="78"/>
      <c r="H43" s="78"/>
      <c r="I43" s="79"/>
    </row>
    <row r="44" spans="1:9" ht="30" customHeight="1" x14ac:dyDescent="0.3">
      <c r="A44" s="71">
        <v>21</v>
      </c>
      <c r="B44" s="72" t="s">
        <v>28</v>
      </c>
      <c r="C44" s="8">
        <v>0.77</v>
      </c>
      <c r="D44" s="8">
        <v>0.77</v>
      </c>
      <c r="E44" s="8">
        <v>0.77</v>
      </c>
      <c r="F44" s="8">
        <v>0.77</v>
      </c>
      <c r="G44" s="8">
        <v>0.77</v>
      </c>
      <c r="H44" s="8">
        <v>0.77</v>
      </c>
      <c r="I44" s="8">
        <v>0.77</v>
      </c>
    </row>
    <row r="45" spans="1:9" ht="65.099999999999994" customHeight="1" x14ac:dyDescent="0.3">
      <c r="A45" s="71"/>
      <c r="B45" s="72"/>
      <c r="C45" s="77"/>
      <c r="D45" s="78"/>
      <c r="E45" s="78"/>
      <c r="F45" s="78"/>
      <c r="G45" s="78"/>
      <c r="H45" s="78"/>
      <c r="I45" s="79"/>
    </row>
    <row r="46" spans="1:9" ht="30" customHeight="1" x14ac:dyDescent="0.3">
      <c r="A46" s="71">
        <v>22</v>
      </c>
      <c r="B46" s="72" t="s">
        <v>29</v>
      </c>
      <c r="C46" s="8">
        <v>0.77</v>
      </c>
      <c r="D46" s="8">
        <v>0.77</v>
      </c>
      <c r="E46" s="8">
        <v>0.77</v>
      </c>
      <c r="F46" s="8">
        <v>0.77</v>
      </c>
      <c r="G46" s="8">
        <v>0.77</v>
      </c>
      <c r="H46" s="8">
        <v>0.77</v>
      </c>
      <c r="I46" s="9">
        <v>1.5</v>
      </c>
    </row>
    <row r="47" spans="1:9" ht="65.099999999999994" customHeight="1" x14ac:dyDescent="0.3">
      <c r="A47" s="71"/>
      <c r="B47" s="72"/>
      <c r="C47" s="77"/>
      <c r="D47" s="78"/>
      <c r="E47" s="78"/>
      <c r="F47" s="78"/>
      <c r="G47" s="78"/>
      <c r="H47" s="78"/>
      <c r="I47" s="79"/>
    </row>
    <row r="48" spans="1:9" ht="30" customHeight="1" x14ac:dyDescent="0.3">
      <c r="A48" s="71">
        <v>23</v>
      </c>
      <c r="B48" s="72" t="s">
        <v>30</v>
      </c>
      <c r="C48" s="8">
        <v>0.77</v>
      </c>
      <c r="D48" s="8">
        <v>0.77</v>
      </c>
      <c r="E48" s="8">
        <v>0.77</v>
      </c>
      <c r="F48" s="8">
        <v>0.77</v>
      </c>
      <c r="G48" s="8">
        <v>0.77</v>
      </c>
      <c r="H48" s="8">
        <v>0.77</v>
      </c>
      <c r="I48" s="8">
        <v>0.77</v>
      </c>
    </row>
    <row r="49" spans="1:9" ht="65.099999999999994" customHeight="1" x14ac:dyDescent="0.3">
      <c r="A49" s="71"/>
      <c r="B49" s="72"/>
      <c r="C49" s="77"/>
      <c r="D49" s="78"/>
      <c r="E49" s="78"/>
      <c r="F49" s="78"/>
      <c r="G49" s="78"/>
      <c r="H49" s="78"/>
      <c r="I49" s="79"/>
    </row>
    <row r="50" spans="1:9" ht="30" customHeight="1" x14ac:dyDescent="0.3">
      <c r="A50" s="71">
        <v>24</v>
      </c>
      <c r="B50" s="72" t="s">
        <v>31</v>
      </c>
      <c r="C50" s="8">
        <v>0.77</v>
      </c>
      <c r="D50" s="8">
        <v>0.77</v>
      </c>
      <c r="E50" s="8">
        <v>0.77</v>
      </c>
      <c r="F50" s="8">
        <v>0.77</v>
      </c>
      <c r="G50" s="8">
        <v>0.77</v>
      </c>
      <c r="H50" s="8">
        <v>0.77</v>
      </c>
      <c r="I50" s="8">
        <v>0.77</v>
      </c>
    </row>
    <row r="51" spans="1:9" ht="65.099999999999994" customHeight="1" x14ac:dyDescent="0.3">
      <c r="A51" s="71"/>
      <c r="B51" s="72"/>
      <c r="C51" s="77"/>
      <c r="D51" s="78"/>
      <c r="E51" s="78"/>
      <c r="F51" s="78"/>
      <c r="G51" s="78"/>
      <c r="H51" s="78"/>
      <c r="I51" s="79"/>
    </row>
    <row r="52" spans="1:9" ht="30" customHeight="1" x14ac:dyDescent="0.3">
      <c r="A52" s="71">
        <v>25</v>
      </c>
      <c r="B52" s="72" t="s">
        <v>32</v>
      </c>
      <c r="C52" s="8">
        <v>0.77</v>
      </c>
      <c r="D52" s="8">
        <v>0.77</v>
      </c>
      <c r="E52" s="8">
        <v>0.77</v>
      </c>
      <c r="F52" s="8">
        <v>0.77</v>
      </c>
      <c r="G52" s="8">
        <v>0.77</v>
      </c>
      <c r="H52" s="8">
        <v>0.77</v>
      </c>
      <c r="I52" s="8">
        <v>0.77</v>
      </c>
    </row>
    <row r="53" spans="1:9" ht="65.099999999999994" customHeight="1" x14ac:dyDescent="0.3">
      <c r="A53" s="71"/>
      <c r="B53" s="72"/>
      <c r="C53" s="77"/>
      <c r="D53" s="78"/>
      <c r="E53" s="78"/>
      <c r="F53" s="78"/>
      <c r="G53" s="78"/>
      <c r="H53" s="78"/>
      <c r="I53" s="79"/>
    </row>
    <row r="54" spans="1:9" ht="30" customHeight="1" x14ac:dyDescent="0.3">
      <c r="A54" s="71">
        <v>26</v>
      </c>
      <c r="B54" s="72" t="s">
        <v>33</v>
      </c>
      <c r="C54" s="8">
        <v>0.77</v>
      </c>
      <c r="D54" s="8">
        <v>0.77</v>
      </c>
      <c r="E54" s="8">
        <v>0.77</v>
      </c>
      <c r="F54" s="8">
        <v>0.77</v>
      </c>
      <c r="G54" s="8">
        <v>0.77</v>
      </c>
      <c r="H54" s="8">
        <v>0.77</v>
      </c>
      <c r="I54" s="8">
        <v>0.77</v>
      </c>
    </row>
    <row r="55" spans="1:9" ht="65.099999999999994" customHeight="1" x14ac:dyDescent="0.3">
      <c r="A55" s="71"/>
      <c r="B55" s="72"/>
      <c r="C55" s="77"/>
      <c r="D55" s="78"/>
      <c r="E55" s="78"/>
      <c r="F55" s="78"/>
      <c r="G55" s="78"/>
      <c r="H55" s="78"/>
      <c r="I55" s="79"/>
    </row>
    <row r="56" spans="1:9" ht="30" customHeight="1" x14ac:dyDescent="0.3">
      <c r="A56" s="71">
        <v>27</v>
      </c>
      <c r="B56" s="72" t="s">
        <v>34</v>
      </c>
      <c r="C56" s="8">
        <v>0.77</v>
      </c>
      <c r="D56" s="8">
        <v>0.77</v>
      </c>
      <c r="E56" s="8">
        <v>0.77</v>
      </c>
      <c r="F56" s="8">
        <v>0.77</v>
      </c>
      <c r="G56" s="8">
        <v>0.77</v>
      </c>
      <c r="H56" s="8">
        <v>0.77</v>
      </c>
      <c r="I56" s="8">
        <v>0.77</v>
      </c>
    </row>
    <row r="57" spans="1:9" ht="65.099999999999994" customHeight="1" x14ac:dyDescent="0.3">
      <c r="A57" s="71"/>
      <c r="B57" s="72"/>
      <c r="C57" s="77"/>
      <c r="D57" s="78"/>
      <c r="E57" s="78"/>
      <c r="F57" s="78"/>
      <c r="G57" s="78"/>
      <c r="H57" s="78"/>
      <c r="I57" s="79"/>
    </row>
    <row r="58" spans="1:9" ht="30" customHeight="1" x14ac:dyDescent="0.3">
      <c r="A58" s="71">
        <v>28</v>
      </c>
      <c r="B58" s="72" t="s">
        <v>35</v>
      </c>
      <c r="C58" s="8">
        <v>0.77</v>
      </c>
      <c r="D58" s="8">
        <v>0.77</v>
      </c>
      <c r="E58" s="8">
        <v>0.77</v>
      </c>
      <c r="F58" s="8">
        <v>0.77</v>
      </c>
      <c r="G58" s="8">
        <v>0.77</v>
      </c>
      <c r="H58" s="8">
        <v>0.77</v>
      </c>
      <c r="I58" s="8">
        <v>0.77</v>
      </c>
    </row>
    <row r="59" spans="1:9" ht="65.099999999999994" customHeight="1" x14ac:dyDescent="0.3">
      <c r="A59" s="71"/>
      <c r="B59" s="72"/>
      <c r="C59" s="77"/>
      <c r="D59" s="78"/>
      <c r="E59" s="78"/>
      <c r="F59" s="78"/>
      <c r="G59" s="78"/>
      <c r="H59" s="78"/>
      <c r="I59" s="79"/>
    </row>
    <row r="60" spans="1:9" ht="30" customHeight="1" x14ac:dyDescent="0.3">
      <c r="A60" s="71">
        <v>29</v>
      </c>
      <c r="B60" s="72" t="s">
        <v>36</v>
      </c>
      <c r="C60" s="8">
        <v>0.77</v>
      </c>
      <c r="D60" s="8">
        <v>0.77</v>
      </c>
      <c r="E60" s="8">
        <v>0.77</v>
      </c>
      <c r="F60" s="8">
        <v>0.77</v>
      </c>
      <c r="G60" s="8">
        <v>0.77</v>
      </c>
      <c r="H60" s="8">
        <v>0.77</v>
      </c>
      <c r="I60" s="8">
        <v>0.77</v>
      </c>
    </row>
    <row r="61" spans="1:9" ht="65.099999999999994" customHeight="1" x14ac:dyDescent="0.3">
      <c r="A61" s="71"/>
      <c r="B61" s="72"/>
      <c r="C61" s="77"/>
      <c r="D61" s="78"/>
      <c r="E61" s="78"/>
      <c r="F61" s="78"/>
      <c r="G61" s="78"/>
      <c r="H61" s="78"/>
      <c r="I61" s="79"/>
    </row>
    <row r="62" spans="1:9" ht="30" customHeight="1" x14ac:dyDescent="0.3">
      <c r="A62" s="71">
        <v>30</v>
      </c>
      <c r="B62" s="72" t="s">
        <v>37</v>
      </c>
      <c r="C62" s="8">
        <v>0.77</v>
      </c>
      <c r="D62" s="8">
        <v>0.77</v>
      </c>
      <c r="E62" s="8">
        <v>0.77</v>
      </c>
      <c r="F62" s="8">
        <v>0.77</v>
      </c>
      <c r="G62" s="8">
        <v>0.77</v>
      </c>
      <c r="H62" s="8">
        <v>0.77</v>
      </c>
      <c r="I62" s="8">
        <v>0.77</v>
      </c>
    </row>
    <row r="63" spans="1:9" ht="65.099999999999994" customHeight="1" x14ac:dyDescent="0.3">
      <c r="A63" s="71"/>
      <c r="B63" s="72"/>
      <c r="C63" s="77"/>
      <c r="D63" s="78"/>
      <c r="E63" s="78"/>
      <c r="F63" s="78"/>
      <c r="G63" s="78"/>
      <c r="H63" s="78"/>
      <c r="I63" s="79"/>
    </row>
    <row r="64" spans="1:9" ht="30" customHeight="1" x14ac:dyDescent="0.3">
      <c r="A64" s="71">
        <v>31</v>
      </c>
      <c r="B64" s="72" t="s">
        <v>38</v>
      </c>
      <c r="C64" s="8">
        <v>0.77</v>
      </c>
      <c r="D64" s="8">
        <v>0.77</v>
      </c>
      <c r="E64" s="8">
        <v>0.77</v>
      </c>
      <c r="F64" s="8">
        <v>0.77</v>
      </c>
      <c r="G64" s="8">
        <v>0.77</v>
      </c>
      <c r="H64" s="8">
        <v>0.77</v>
      </c>
      <c r="I64" s="8">
        <v>1.45</v>
      </c>
    </row>
    <row r="65" spans="1:9" ht="65.099999999999994" customHeight="1" x14ac:dyDescent="0.3">
      <c r="A65" s="71"/>
      <c r="B65" s="72"/>
      <c r="C65" s="77"/>
      <c r="D65" s="78"/>
      <c r="E65" s="78"/>
      <c r="F65" s="78"/>
      <c r="G65" s="78"/>
      <c r="H65" s="78"/>
      <c r="I65" s="79"/>
    </row>
    <row r="66" spans="1:9" ht="30" customHeight="1" x14ac:dyDescent="0.3">
      <c r="A66" s="71">
        <v>32</v>
      </c>
      <c r="B66" s="72" t="s">
        <v>39</v>
      </c>
      <c r="C66" s="8">
        <v>0.77</v>
      </c>
      <c r="D66" s="8">
        <v>0.77</v>
      </c>
      <c r="E66" s="8">
        <v>0.77</v>
      </c>
      <c r="F66" s="8">
        <v>0.77</v>
      </c>
      <c r="G66" s="8">
        <v>0.77</v>
      </c>
      <c r="H66" s="8">
        <v>0.77</v>
      </c>
      <c r="I66" s="8">
        <v>0.77</v>
      </c>
    </row>
    <row r="67" spans="1:9" ht="65.099999999999994" customHeight="1" x14ac:dyDescent="0.3">
      <c r="A67" s="71"/>
      <c r="B67" s="72"/>
      <c r="C67" s="77"/>
      <c r="D67" s="78"/>
      <c r="E67" s="78"/>
      <c r="F67" s="78"/>
      <c r="G67" s="78"/>
      <c r="H67" s="78"/>
      <c r="I67" s="79"/>
    </row>
    <row r="68" spans="1:9" ht="30" customHeight="1" x14ac:dyDescent="0.3">
      <c r="A68" s="71">
        <v>33</v>
      </c>
      <c r="B68" s="72" t="s">
        <v>40</v>
      </c>
      <c r="C68" s="8">
        <v>0.77</v>
      </c>
      <c r="D68" s="8">
        <v>0.77</v>
      </c>
      <c r="E68" s="8">
        <v>0.77</v>
      </c>
      <c r="F68" s="8">
        <v>0.77</v>
      </c>
      <c r="G68" s="8">
        <v>0.77</v>
      </c>
      <c r="H68" s="8">
        <v>0.77</v>
      </c>
      <c r="I68" s="8">
        <v>0.77</v>
      </c>
    </row>
    <row r="69" spans="1:9" ht="65.099999999999994" customHeight="1" x14ac:dyDescent="0.3">
      <c r="A69" s="71"/>
      <c r="B69" s="72"/>
      <c r="C69" s="77"/>
      <c r="D69" s="78"/>
      <c r="E69" s="78"/>
      <c r="F69" s="78"/>
      <c r="G69" s="78"/>
      <c r="H69" s="78"/>
      <c r="I69" s="79"/>
    </row>
    <row r="70" spans="1:9" ht="30" customHeight="1" x14ac:dyDescent="0.3">
      <c r="A70" s="71">
        <v>34</v>
      </c>
      <c r="B70" s="72" t="s">
        <v>41</v>
      </c>
      <c r="C70" s="8">
        <v>0.77</v>
      </c>
      <c r="D70" s="8">
        <v>0.77</v>
      </c>
      <c r="E70" s="8">
        <v>0.77</v>
      </c>
      <c r="F70" s="8">
        <v>0.77</v>
      </c>
      <c r="G70" s="8">
        <v>0.77</v>
      </c>
      <c r="H70" s="8">
        <v>0.77</v>
      </c>
      <c r="I70" s="8">
        <v>0.77</v>
      </c>
    </row>
    <row r="71" spans="1:9" ht="65.099999999999994" customHeight="1" x14ac:dyDescent="0.3">
      <c r="A71" s="71"/>
      <c r="B71" s="72"/>
      <c r="C71" s="77"/>
      <c r="D71" s="78"/>
      <c r="E71" s="78"/>
      <c r="F71" s="78"/>
      <c r="G71" s="78"/>
      <c r="H71" s="78"/>
      <c r="I71" s="79"/>
    </row>
    <row r="72" spans="1:9" ht="30" customHeight="1" x14ac:dyDescent="0.3">
      <c r="A72" s="71">
        <v>35</v>
      </c>
      <c r="B72" s="72" t="s">
        <v>42</v>
      </c>
      <c r="C72" s="8">
        <v>0.77</v>
      </c>
      <c r="D72" s="8">
        <v>0.77</v>
      </c>
      <c r="E72" s="8">
        <v>0.77</v>
      </c>
      <c r="F72" s="8">
        <v>0.77</v>
      </c>
      <c r="G72" s="8">
        <v>0.77</v>
      </c>
      <c r="H72" s="8">
        <v>0.77</v>
      </c>
      <c r="I72" s="8">
        <v>0.77</v>
      </c>
    </row>
    <row r="73" spans="1:9" ht="65.099999999999994" customHeight="1" x14ac:dyDescent="0.3">
      <c r="A73" s="71"/>
      <c r="B73" s="72"/>
      <c r="C73" s="77"/>
      <c r="D73" s="78"/>
      <c r="E73" s="78"/>
      <c r="F73" s="78"/>
      <c r="G73" s="78"/>
      <c r="H73" s="78"/>
      <c r="I73" s="79"/>
    </row>
    <row r="74" spans="1:9" ht="30" customHeight="1" x14ac:dyDescent="0.3">
      <c r="A74" s="71">
        <v>36</v>
      </c>
      <c r="B74" s="72" t="s">
        <v>43</v>
      </c>
      <c r="C74" s="8">
        <v>0.77</v>
      </c>
      <c r="D74" s="8">
        <v>0.77</v>
      </c>
      <c r="E74" s="8">
        <v>0.77</v>
      </c>
      <c r="F74" s="8">
        <v>0.77</v>
      </c>
      <c r="G74" s="8">
        <v>0.77</v>
      </c>
      <c r="H74" s="8">
        <v>0.77</v>
      </c>
      <c r="I74" s="8">
        <v>0.77</v>
      </c>
    </row>
    <row r="75" spans="1:9" ht="65.099999999999994" customHeight="1" x14ac:dyDescent="0.3">
      <c r="A75" s="71"/>
      <c r="B75" s="72"/>
      <c r="C75" s="77"/>
      <c r="D75" s="78"/>
      <c r="E75" s="78"/>
      <c r="F75" s="78"/>
      <c r="G75" s="78"/>
      <c r="H75" s="78"/>
      <c r="I75" s="79"/>
    </row>
    <row r="76" spans="1:9" ht="30" customHeight="1" x14ac:dyDescent="0.3">
      <c r="A76" s="71">
        <v>37</v>
      </c>
      <c r="B76" s="72" t="s">
        <v>44</v>
      </c>
      <c r="C76" s="8">
        <v>0.77</v>
      </c>
      <c r="D76" s="8">
        <v>0.77</v>
      </c>
      <c r="E76" s="8">
        <v>0.77</v>
      </c>
      <c r="F76" s="8">
        <v>0.77</v>
      </c>
      <c r="G76" s="8">
        <v>0.77</v>
      </c>
      <c r="H76" s="8">
        <v>0.77</v>
      </c>
      <c r="I76" s="8">
        <v>0.77</v>
      </c>
    </row>
    <row r="77" spans="1:9" ht="65.099999999999994" customHeight="1" x14ac:dyDescent="0.3">
      <c r="A77" s="71"/>
      <c r="B77" s="72"/>
      <c r="C77" s="77"/>
      <c r="D77" s="78"/>
      <c r="E77" s="78"/>
      <c r="F77" s="78"/>
      <c r="G77" s="78"/>
      <c r="H77" s="78"/>
      <c r="I77" s="79"/>
    </row>
    <row r="78" spans="1:9" ht="30" customHeight="1" x14ac:dyDescent="0.3">
      <c r="A78" s="71">
        <v>38</v>
      </c>
      <c r="B78" s="72" t="s">
        <v>45</v>
      </c>
      <c r="C78" s="8">
        <v>0.77</v>
      </c>
      <c r="D78" s="8">
        <v>0.77</v>
      </c>
      <c r="E78" s="8">
        <v>0.77</v>
      </c>
      <c r="F78" s="8">
        <v>0.77</v>
      </c>
      <c r="G78" s="8">
        <v>0.77</v>
      </c>
      <c r="H78" s="8">
        <v>0.77</v>
      </c>
      <c r="I78" s="8">
        <v>0.77</v>
      </c>
    </row>
    <row r="79" spans="1:9" ht="65.099999999999994" customHeight="1" x14ac:dyDescent="0.3">
      <c r="A79" s="71"/>
      <c r="B79" s="72"/>
      <c r="C79" s="77"/>
      <c r="D79" s="78"/>
      <c r="E79" s="78"/>
      <c r="F79" s="78"/>
      <c r="G79" s="78"/>
      <c r="H79" s="78"/>
      <c r="I79" s="79"/>
    </row>
    <row r="80" spans="1:9" ht="30" customHeight="1" x14ac:dyDescent="0.3">
      <c r="A80" s="71">
        <v>39</v>
      </c>
      <c r="B80" s="72" t="s">
        <v>46</v>
      </c>
      <c r="C80" s="8">
        <v>0.77</v>
      </c>
      <c r="D80" s="8">
        <v>0.77</v>
      </c>
      <c r="E80" s="8">
        <v>0.77</v>
      </c>
      <c r="F80" s="8">
        <v>0.77</v>
      </c>
      <c r="G80" s="8">
        <v>0.77</v>
      </c>
      <c r="H80" s="8">
        <v>0.77</v>
      </c>
      <c r="I80" s="8">
        <v>0.77</v>
      </c>
    </row>
    <row r="81" spans="1:9" ht="65.099999999999994" customHeight="1" x14ac:dyDescent="0.3">
      <c r="A81" s="71"/>
      <c r="B81" s="72"/>
      <c r="C81" s="77"/>
      <c r="D81" s="78"/>
      <c r="E81" s="78"/>
      <c r="F81" s="78"/>
      <c r="G81" s="78"/>
      <c r="H81" s="78"/>
      <c r="I81" s="79"/>
    </row>
    <row r="82" spans="1:9" ht="30" customHeight="1" x14ac:dyDescent="0.3">
      <c r="A82" s="71">
        <v>40</v>
      </c>
      <c r="B82" s="72" t="s">
        <v>47</v>
      </c>
      <c r="C82" s="8">
        <v>0.77</v>
      </c>
      <c r="D82" s="8">
        <v>0.77</v>
      </c>
      <c r="E82" s="8">
        <v>0.77</v>
      </c>
      <c r="F82" s="8">
        <v>0.77</v>
      </c>
      <c r="G82" s="8">
        <v>0.77</v>
      </c>
      <c r="H82" s="8">
        <v>0.77</v>
      </c>
      <c r="I82" s="8">
        <v>1.17</v>
      </c>
    </row>
    <row r="83" spans="1:9" ht="65.099999999999994" customHeight="1" x14ac:dyDescent="0.3">
      <c r="A83" s="71"/>
      <c r="B83" s="72"/>
      <c r="C83" s="77"/>
      <c r="D83" s="78"/>
      <c r="E83" s="78"/>
      <c r="F83" s="78"/>
      <c r="G83" s="78"/>
      <c r="H83" s="78"/>
      <c r="I83" s="79"/>
    </row>
    <row r="84" spans="1:9" ht="30" customHeight="1" x14ac:dyDescent="0.3">
      <c r="A84" s="71">
        <v>41</v>
      </c>
      <c r="B84" s="72" t="s">
        <v>48</v>
      </c>
      <c r="C84" s="8">
        <v>0.77</v>
      </c>
      <c r="D84" s="8">
        <v>0.77</v>
      </c>
      <c r="E84" s="8">
        <v>0.77</v>
      </c>
      <c r="F84" s="8">
        <v>0.77</v>
      </c>
      <c r="G84" s="8">
        <v>0.77</v>
      </c>
      <c r="H84" s="8">
        <v>0.77</v>
      </c>
      <c r="I84" s="8">
        <v>0.77</v>
      </c>
    </row>
    <row r="85" spans="1:9" ht="65.099999999999994" customHeight="1" x14ac:dyDescent="0.3">
      <c r="A85" s="71"/>
      <c r="B85" s="72"/>
      <c r="C85" s="77"/>
      <c r="D85" s="78"/>
      <c r="E85" s="78"/>
      <c r="F85" s="78"/>
      <c r="G85" s="78"/>
      <c r="H85" s="78"/>
      <c r="I85" s="79"/>
    </row>
    <row r="86" spans="1:9" ht="30" customHeight="1" x14ac:dyDescent="0.3">
      <c r="A86" s="71">
        <v>42</v>
      </c>
      <c r="B86" s="72" t="s">
        <v>49</v>
      </c>
      <c r="C86" s="8">
        <v>0.77</v>
      </c>
      <c r="D86" s="8">
        <v>0.77</v>
      </c>
      <c r="E86" s="8">
        <v>0.77</v>
      </c>
      <c r="F86" s="8">
        <v>0.77</v>
      </c>
      <c r="G86" s="8">
        <v>0.77</v>
      </c>
      <c r="H86" s="8">
        <v>0.77</v>
      </c>
      <c r="I86" s="8">
        <v>0.77</v>
      </c>
    </row>
    <row r="87" spans="1:9" ht="65.099999999999994" customHeight="1" x14ac:dyDescent="0.3">
      <c r="A87" s="71"/>
      <c r="B87" s="72"/>
      <c r="C87" s="77"/>
      <c r="D87" s="78"/>
      <c r="E87" s="78"/>
      <c r="F87" s="78"/>
      <c r="G87" s="78"/>
      <c r="H87" s="78"/>
      <c r="I87" s="79"/>
    </row>
    <row r="88" spans="1:9" ht="30" customHeight="1" x14ac:dyDescent="0.3">
      <c r="A88" s="71">
        <v>43</v>
      </c>
      <c r="B88" s="72" t="s">
        <v>50</v>
      </c>
      <c r="C88" s="8">
        <v>0.77</v>
      </c>
      <c r="D88" s="8">
        <v>0.77</v>
      </c>
      <c r="E88" s="8">
        <v>0.77</v>
      </c>
      <c r="F88" s="8">
        <v>0.77</v>
      </c>
      <c r="G88" s="8">
        <v>0.77</v>
      </c>
      <c r="H88" s="8">
        <v>0.77</v>
      </c>
      <c r="I88" s="8">
        <v>0.77</v>
      </c>
    </row>
    <row r="89" spans="1:9" ht="65.099999999999994" customHeight="1" x14ac:dyDescent="0.3">
      <c r="A89" s="71"/>
      <c r="B89" s="72"/>
      <c r="C89" s="77"/>
      <c r="D89" s="78"/>
      <c r="E89" s="78"/>
      <c r="F89" s="78"/>
      <c r="G89" s="78"/>
      <c r="H89" s="78"/>
      <c r="I89" s="79"/>
    </row>
    <row r="90" spans="1:9" ht="30" customHeight="1" x14ac:dyDescent="0.3">
      <c r="A90" s="71">
        <v>44</v>
      </c>
      <c r="B90" s="72" t="s">
        <v>51</v>
      </c>
      <c r="C90" s="8">
        <v>0.77</v>
      </c>
      <c r="D90" s="8">
        <v>0.77</v>
      </c>
      <c r="E90" s="8">
        <v>0.77</v>
      </c>
      <c r="F90" s="8">
        <v>0.77</v>
      </c>
      <c r="G90" s="8">
        <v>0.77</v>
      </c>
      <c r="H90" s="8">
        <v>0.77</v>
      </c>
      <c r="I90" s="8">
        <v>0.77</v>
      </c>
    </row>
    <row r="91" spans="1:9" ht="65.099999999999994" customHeight="1" x14ac:dyDescent="0.3">
      <c r="A91" s="71"/>
      <c r="B91" s="72"/>
      <c r="C91" s="77"/>
      <c r="D91" s="78"/>
      <c r="E91" s="78"/>
      <c r="F91" s="78"/>
      <c r="G91" s="78"/>
      <c r="H91" s="78"/>
      <c r="I91" s="79"/>
    </row>
    <row r="92" spans="1:9" ht="30" customHeight="1" x14ac:dyDescent="0.3">
      <c r="A92" s="71">
        <v>45</v>
      </c>
      <c r="B92" s="72" t="s">
        <v>52</v>
      </c>
      <c r="C92" s="8">
        <v>0.77</v>
      </c>
      <c r="D92" s="8">
        <v>0.77</v>
      </c>
      <c r="E92" s="8">
        <v>0.77</v>
      </c>
      <c r="F92" s="8">
        <v>0.77</v>
      </c>
      <c r="G92" s="8">
        <v>0.77</v>
      </c>
      <c r="H92" s="8">
        <v>0.77</v>
      </c>
      <c r="I92" s="9">
        <v>1.5</v>
      </c>
    </row>
    <row r="93" spans="1:9" ht="65.099999999999994" customHeight="1" x14ac:dyDescent="0.3">
      <c r="A93" s="71"/>
      <c r="B93" s="72"/>
      <c r="C93" s="77"/>
      <c r="D93" s="78"/>
      <c r="E93" s="78"/>
      <c r="F93" s="78"/>
      <c r="G93" s="78"/>
      <c r="H93" s="78"/>
      <c r="I93" s="79"/>
    </row>
    <row r="94" spans="1:9" ht="30" customHeight="1" x14ac:dyDescent="0.3">
      <c r="A94" s="71">
        <v>46</v>
      </c>
      <c r="B94" s="72" t="s">
        <v>53</v>
      </c>
      <c r="C94" s="8">
        <v>0.77</v>
      </c>
      <c r="D94" s="8">
        <v>0.77</v>
      </c>
      <c r="E94" s="8">
        <v>0.77</v>
      </c>
      <c r="F94" s="8">
        <v>0.77</v>
      </c>
      <c r="G94" s="8">
        <v>0.77</v>
      </c>
      <c r="H94" s="8">
        <v>0.77</v>
      </c>
      <c r="I94" s="8">
        <v>0.77</v>
      </c>
    </row>
    <row r="95" spans="1:9" ht="65.099999999999994" customHeight="1" x14ac:dyDescent="0.3">
      <c r="A95" s="71"/>
      <c r="B95" s="72"/>
      <c r="C95" s="77"/>
      <c r="D95" s="78"/>
      <c r="E95" s="78"/>
      <c r="F95" s="78"/>
      <c r="G95" s="78"/>
      <c r="H95" s="78"/>
      <c r="I95" s="79"/>
    </row>
    <row r="96" spans="1:9" ht="30" customHeight="1" x14ac:dyDescent="0.3">
      <c r="A96" s="71">
        <v>47</v>
      </c>
      <c r="B96" s="72" t="s">
        <v>54</v>
      </c>
      <c r="C96" s="8">
        <v>0.77</v>
      </c>
      <c r="D96" s="8">
        <v>0.77</v>
      </c>
      <c r="E96" s="8">
        <v>0.77</v>
      </c>
      <c r="F96" s="8">
        <v>0.77</v>
      </c>
      <c r="G96" s="8">
        <v>0.77</v>
      </c>
      <c r="H96" s="8">
        <v>0.77</v>
      </c>
      <c r="I96" s="8">
        <v>0.87</v>
      </c>
    </row>
    <row r="97" spans="1:9" ht="65.099999999999994" customHeight="1" x14ac:dyDescent="0.3">
      <c r="A97" s="71"/>
      <c r="B97" s="72"/>
      <c r="C97" s="77"/>
      <c r="D97" s="78"/>
      <c r="E97" s="78"/>
      <c r="F97" s="78"/>
      <c r="G97" s="78"/>
      <c r="H97" s="78"/>
      <c r="I97" s="79"/>
    </row>
    <row r="98" spans="1:9" ht="30" customHeight="1" x14ac:dyDescent="0.3">
      <c r="A98" s="71">
        <v>48</v>
      </c>
      <c r="B98" s="72" t="s">
        <v>55</v>
      </c>
      <c r="C98" s="8">
        <v>0.77</v>
      </c>
      <c r="D98" s="8">
        <v>0.77</v>
      </c>
      <c r="E98" s="8">
        <v>0.77</v>
      </c>
      <c r="F98" s="8">
        <v>0.77</v>
      </c>
      <c r="G98" s="8">
        <v>0.77</v>
      </c>
      <c r="H98" s="8">
        <v>0.77</v>
      </c>
      <c r="I98" s="8">
        <v>0.86</v>
      </c>
    </row>
    <row r="99" spans="1:9" ht="65.099999999999994" customHeight="1" x14ac:dyDescent="0.3">
      <c r="A99" s="71"/>
      <c r="B99" s="72"/>
      <c r="C99" s="77"/>
      <c r="D99" s="78"/>
      <c r="E99" s="78"/>
      <c r="F99" s="78"/>
      <c r="G99" s="78"/>
      <c r="H99" s="78"/>
      <c r="I99" s="79"/>
    </row>
    <row r="100" spans="1:9" ht="30" customHeight="1" x14ac:dyDescent="0.3">
      <c r="A100" s="71">
        <v>49</v>
      </c>
      <c r="B100" s="72" t="s">
        <v>56</v>
      </c>
      <c r="C100" s="8">
        <v>0.77</v>
      </c>
      <c r="D100" s="8">
        <v>0.77</v>
      </c>
      <c r="E100" s="8">
        <v>0.77</v>
      </c>
      <c r="F100" s="8">
        <v>0.77</v>
      </c>
      <c r="G100" s="8">
        <v>0.77</v>
      </c>
      <c r="H100" s="8">
        <v>0.77</v>
      </c>
      <c r="I100" s="8">
        <v>1.05</v>
      </c>
    </row>
    <row r="101" spans="1:9" ht="65.099999999999994" customHeight="1" x14ac:dyDescent="0.3">
      <c r="A101" s="71"/>
      <c r="B101" s="72"/>
      <c r="C101" s="77"/>
      <c r="D101" s="78"/>
      <c r="E101" s="78"/>
      <c r="F101" s="78"/>
      <c r="G101" s="78"/>
      <c r="H101" s="78"/>
      <c r="I101" s="79"/>
    </row>
    <row r="102" spans="1:9" ht="30" customHeight="1" x14ac:dyDescent="0.3">
      <c r="A102" s="71">
        <v>50</v>
      </c>
      <c r="B102" s="72" t="s">
        <v>57</v>
      </c>
      <c r="C102" s="8">
        <v>0.77</v>
      </c>
      <c r="D102" s="8">
        <v>0.77</v>
      </c>
      <c r="E102" s="8">
        <v>0.77</v>
      </c>
      <c r="F102" s="8">
        <v>0.77</v>
      </c>
      <c r="G102" s="8">
        <v>0.77</v>
      </c>
      <c r="H102" s="8">
        <v>0.77</v>
      </c>
      <c r="I102" s="8">
        <v>0.77</v>
      </c>
    </row>
    <row r="103" spans="1:9" ht="65.099999999999994" customHeight="1" x14ac:dyDescent="0.3">
      <c r="A103" s="71"/>
      <c r="B103" s="72"/>
      <c r="C103" s="77"/>
      <c r="D103" s="78"/>
      <c r="E103" s="78"/>
      <c r="F103" s="78"/>
      <c r="G103" s="78"/>
      <c r="H103" s="78"/>
      <c r="I103" s="79"/>
    </row>
    <row r="104" spans="1:9" ht="30" customHeight="1" x14ac:dyDescent="0.3">
      <c r="A104" s="71">
        <v>51</v>
      </c>
      <c r="B104" s="72" t="s">
        <v>58</v>
      </c>
      <c r="C104" s="8">
        <v>0.77</v>
      </c>
      <c r="D104" s="8">
        <v>0.77</v>
      </c>
      <c r="E104" s="8">
        <v>0.77</v>
      </c>
      <c r="F104" s="8">
        <v>0.77</v>
      </c>
      <c r="G104" s="8">
        <v>0.77</v>
      </c>
      <c r="H104" s="8">
        <v>0.77</v>
      </c>
      <c r="I104" s="8">
        <v>1.89</v>
      </c>
    </row>
    <row r="105" spans="1:9" ht="65.099999999999994" customHeight="1" x14ac:dyDescent="0.3">
      <c r="A105" s="71"/>
      <c r="B105" s="72"/>
      <c r="C105" s="77"/>
      <c r="D105" s="78"/>
      <c r="E105" s="78"/>
      <c r="F105" s="78"/>
      <c r="G105" s="78"/>
      <c r="H105" s="78"/>
      <c r="I105" s="79"/>
    </row>
    <row r="106" spans="1:9" ht="30" customHeight="1" x14ac:dyDescent="0.3">
      <c r="A106" s="71">
        <v>52</v>
      </c>
      <c r="B106" s="72" t="s">
        <v>59</v>
      </c>
      <c r="C106" s="8">
        <v>0.77</v>
      </c>
      <c r="D106" s="8">
        <v>0.77</v>
      </c>
      <c r="E106" s="8">
        <v>0.77</v>
      </c>
      <c r="F106" s="8">
        <v>0.77</v>
      </c>
      <c r="G106" s="8">
        <v>0.77</v>
      </c>
      <c r="H106" s="8">
        <v>0.77</v>
      </c>
      <c r="I106" s="8">
        <v>1.27</v>
      </c>
    </row>
    <row r="107" spans="1:9" ht="65.099999999999994" customHeight="1" x14ac:dyDescent="0.3">
      <c r="A107" s="71"/>
      <c r="B107" s="72"/>
      <c r="C107" s="77"/>
      <c r="D107" s="78"/>
      <c r="E107" s="78"/>
      <c r="F107" s="78"/>
      <c r="G107" s="78"/>
      <c r="H107" s="78"/>
      <c r="I107" s="79"/>
    </row>
    <row r="108" spans="1:9" ht="30" customHeight="1" x14ac:dyDescent="0.3">
      <c r="A108" s="71">
        <v>53</v>
      </c>
      <c r="B108" s="72" t="s">
        <v>60</v>
      </c>
      <c r="C108" s="8">
        <v>0.77</v>
      </c>
      <c r="D108" s="8">
        <v>0.77</v>
      </c>
      <c r="E108" s="8">
        <v>0.77</v>
      </c>
      <c r="F108" s="8">
        <v>0.77</v>
      </c>
      <c r="G108" s="8">
        <v>0.77</v>
      </c>
      <c r="H108" s="8">
        <v>0.77</v>
      </c>
      <c r="I108" s="8">
        <v>0.77</v>
      </c>
    </row>
    <row r="109" spans="1:9" ht="65.099999999999994" customHeight="1" x14ac:dyDescent="0.3">
      <c r="A109" s="71"/>
      <c r="B109" s="72"/>
      <c r="C109" s="77"/>
      <c r="D109" s="78"/>
      <c r="E109" s="78"/>
      <c r="F109" s="78"/>
      <c r="G109" s="78"/>
      <c r="H109" s="78"/>
      <c r="I109" s="79"/>
    </row>
    <row r="110" spans="1:9" ht="30" customHeight="1" x14ac:dyDescent="0.3">
      <c r="A110" s="71">
        <v>54</v>
      </c>
      <c r="B110" s="72" t="s">
        <v>61</v>
      </c>
      <c r="C110" s="8">
        <v>0.77</v>
      </c>
      <c r="D110" s="8">
        <v>0.77</v>
      </c>
      <c r="E110" s="8">
        <v>0.77</v>
      </c>
      <c r="F110" s="8">
        <v>0.77</v>
      </c>
      <c r="G110" s="8">
        <v>0.77</v>
      </c>
      <c r="H110" s="8">
        <v>0.77</v>
      </c>
      <c r="I110" s="8">
        <v>1.06</v>
      </c>
    </row>
    <row r="111" spans="1:9" ht="65.099999999999994" customHeight="1" x14ac:dyDescent="0.3">
      <c r="A111" s="71"/>
      <c r="B111" s="72"/>
      <c r="C111" s="77"/>
      <c r="D111" s="78"/>
      <c r="E111" s="78"/>
      <c r="F111" s="78"/>
      <c r="G111" s="78"/>
      <c r="H111" s="78"/>
      <c r="I111" s="79"/>
    </row>
    <row r="112" spans="1:9" ht="30" customHeight="1" x14ac:dyDescent="0.3">
      <c r="A112" s="71">
        <v>55</v>
      </c>
      <c r="B112" s="72" t="s">
        <v>62</v>
      </c>
      <c r="C112" s="8">
        <v>0.77</v>
      </c>
      <c r="D112" s="8">
        <v>0.77</v>
      </c>
      <c r="E112" s="8">
        <v>0.77</v>
      </c>
      <c r="F112" s="8">
        <v>0.77</v>
      </c>
      <c r="G112" s="8">
        <v>0.77</v>
      </c>
      <c r="H112" s="8">
        <v>0.77</v>
      </c>
      <c r="I112" s="8">
        <v>0.77</v>
      </c>
    </row>
    <row r="113" spans="1:9" ht="65.099999999999994" customHeight="1" x14ac:dyDescent="0.3">
      <c r="A113" s="71"/>
      <c r="B113" s="72"/>
      <c r="C113" s="77"/>
      <c r="D113" s="78"/>
      <c r="E113" s="78"/>
      <c r="F113" s="78"/>
      <c r="G113" s="78"/>
      <c r="H113" s="78"/>
      <c r="I113" s="79"/>
    </row>
    <row r="114" spans="1:9" ht="30" customHeight="1" x14ac:dyDescent="0.3">
      <c r="A114" s="71">
        <v>56</v>
      </c>
      <c r="B114" s="72" t="s">
        <v>63</v>
      </c>
      <c r="C114" s="8">
        <v>0.77</v>
      </c>
      <c r="D114" s="8">
        <v>0.77</v>
      </c>
      <c r="E114" s="8">
        <v>0.77</v>
      </c>
      <c r="F114" s="8">
        <v>0.77</v>
      </c>
      <c r="G114" s="8">
        <v>0.77</v>
      </c>
      <c r="H114" s="8">
        <v>0.77</v>
      </c>
      <c r="I114" s="8">
        <v>0.77</v>
      </c>
    </row>
    <row r="115" spans="1:9" ht="65.099999999999994" customHeight="1" x14ac:dyDescent="0.3">
      <c r="A115" s="71"/>
      <c r="B115" s="72"/>
      <c r="C115" s="77"/>
      <c r="D115" s="78"/>
      <c r="E115" s="78"/>
      <c r="F115" s="78"/>
      <c r="G115" s="78"/>
      <c r="H115" s="78"/>
      <c r="I115" s="79"/>
    </row>
    <row r="116" spans="1:9" ht="30" customHeight="1" x14ac:dyDescent="0.3">
      <c r="A116" s="71">
        <v>57</v>
      </c>
      <c r="B116" s="72" t="s">
        <v>64</v>
      </c>
      <c r="C116" s="8">
        <v>0.77</v>
      </c>
      <c r="D116" s="8">
        <v>0.77</v>
      </c>
      <c r="E116" s="8">
        <v>0.77</v>
      </c>
      <c r="F116" s="8">
        <v>0.77</v>
      </c>
      <c r="G116" s="8">
        <v>0.77</v>
      </c>
      <c r="H116" s="8">
        <v>0.77</v>
      </c>
      <c r="I116" s="8">
        <v>0.77</v>
      </c>
    </row>
    <row r="117" spans="1:9" ht="65.099999999999994" customHeight="1" x14ac:dyDescent="0.3">
      <c r="A117" s="71"/>
      <c r="B117" s="72"/>
      <c r="C117" s="77"/>
      <c r="D117" s="78"/>
      <c r="E117" s="78"/>
      <c r="F117" s="78"/>
      <c r="G117" s="78"/>
      <c r="H117" s="78"/>
      <c r="I117" s="79"/>
    </row>
    <row r="118" spans="1:9" ht="30" customHeight="1" x14ac:dyDescent="0.3">
      <c r="A118" s="71">
        <v>58</v>
      </c>
      <c r="B118" s="72" t="s">
        <v>65</v>
      </c>
      <c r="C118" s="8">
        <v>0.77</v>
      </c>
      <c r="D118" s="8">
        <v>0.77</v>
      </c>
      <c r="E118" s="8">
        <v>0.77</v>
      </c>
      <c r="F118" s="8">
        <v>0.77</v>
      </c>
      <c r="G118" s="8">
        <v>0.77</v>
      </c>
      <c r="H118" s="8">
        <v>0.77</v>
      </c>
      <c r="I118" s="8">
        <v>0.77</v>
      </c>
    </row>
    <row r="119" spans="1:9" ht="65.099999999999994" customHeight="1" x14ac:dyDescent="0.3">
      <c r="A119" s="71"/>
      <c r="B119" s="72"/>
      <c r="C119" s="77"/>
      <c r="D119" s="78"/>
      <c r="E119" s="78"/>
      <c r="F119" s="78"/>
      <c r="G119" s="78"/>
      <c r="H119" s="78"/>
      <c r="I119" s="79"/>
    </row>
    <row r="120" spans="1:9" ht="30" customHeight="1" x14ac:dyDescent="0.3">
      <c r="A120" s="71">
        <v>59</v>
      </c>
      <c r="B120" s="72" t="s">
        <v>66</v>
      </c>
      <c r="C120" s="8">
        <v>0.77</v>
      </c>
      <c r="D120" s="8">
        <v>0.77</v>
      </c>
      <c r="E120" s="8">
        <v>0.77</v>
      </c>
      <c r="F120" s="8">
        <v>0.77</v>
      </c>
      <c r="G120" s="8">
        <v>0.77</v>
      </c>
      <c r="H120" s="8">
        <v>0.77</v>
      </c>
      <c r="I120" s="8">
        <v>0.77</v>
      </c>
    </row>
    <row r="121" spans="1:9" ht="65.099999999999994" customHeight="1" x14ac:dyDescent="0.3">
      <c r="A121" s="71"/>
      <c r="B121" s="72"/>
      <c r="C121" s="77"/>
      <c r="D121" s="78"/>
      <c r="E121" s="78"/>
      <c r="F121" s="78"/>
      <c r="G121" s="78"/>
      <c r="H121" s="78"/>
      <c r="I121" s="79"/>
    </row>
    <row r="122" spans="1:9" ht="30" customHeight="1" x14ac:dyDescent="0.3">
      <c r="A122" s="71">
        <v>60</v>
      </c>
      <c r="B122" s="72" t="s">
        <v>67</v>
      </c>
      <c r="C122" s="8">
        <v>0.77</v>
      </c>
      <c r="D122" s="8">
        <v>0.77</v>
      </c>
      <c r="E122" s="8">
        <v>0.77</v>
      </c>
      <c r="F122" s="8">
        <v>0.77</v>
      </c>
      <c r="G122" s="8">
        <v>0.77</v>
      </c>
      <c r="H122" s="8">
        <v>0.77</v>
      </c>
      <c r="I122" s="8">
        <v>0.77</v>
      </c>
    </row>
    <row r="123" spans="1:9" ht="65.099999999999994" customHeight="1" x14ac:dyDescent="0.3">
      <c r="A123" s="71"/>
      <c r="B123" s="72"/>
      <c r="C123" s="77"/>
      <c r="D123" s="78"/>
      <c r="E123" s="78"/>
      <c r="F123" s="78"/>
      <c r="G123" s="78"/>
      <c r="H123" s="78"/>
      <c r="I123" s="79"/>
    </row>
    <row r="124" spans="1:9" ht="30" customHeight="1" x14ac:dyDescent="0.3">
      <c r="A124" s="71">
        <v>61</v>
      </c>
      <c r="B124" s="72" t="s">
        <v>68</v>
      </c>
      <c r="C124" s="8">
        <v>0.77</v>
      </c>
      <c r="D124" s="8">
        <v>0.77</v>
      </c>
      <c r="E124" s="8">
        <v>0.77</v>
      </c>
      <c r="F124" s="8">
        <v>0.77</v>
      </c>
      <c r="G124" s="8">
        <v>0.77</v>
      </c>
      <c r="H124" s="8">
        <v>0.77</v>
      </c>
      <c r="I124" s="8">
        <v>0.77</v>
      </c>
    </row>
    <row r="125" spans="1:9" ht="65.099999999999994" customHeight="1" x14ac:dyDescent="0.3">
      <c r="A125" s="71"/>
      <c r="B125" s="72"/>
      <c r="C125" s="77"/>
      <c r="D125" s="78"/>
      <c r="E125" s="78"/>
      <c r="F125" s="78"/>
      <c r="G125" s="78"/>
      <c r="H125" s="78"/>
      <c r="I125" s="79"/>
    </row>
    <row r="126" spans="1:9" ht="30" customHeight="1" x14ac:dyDescent="0.3">
      <c r="A126" s="71">
        <v>62</v>
      </c>
      <c r="B126" s="72" t="s">
        <v>69</v>
      </c>
      <c r="C126" s="8">
        <v>0.77</v>
      </c>
      <c r="D126" s="8">
        <v>0.77</v>
      </c>
      <c r="E126" s="8">
        <v>0.77</v>
      </c>
      <c r="F126" s="8">
        <v>0.77</v>
      </c>
      <c r="G126" s="8">
        <v>0.77</v>
      </c>
      <c r="H126" s="8">
        <v>0.77</v>
      </c>
      <c r="I126" s="8">
        <v>0.77</v>
      </c>
    </row>
    <row r="127" spans="1:9" ht="65.099999999999994" customHeight="1" x14ac:dyDescent="0.3">
      <c r="A127" s="71"/>
      <c r="B127" s="72"/>
      <c r="C127" s="77"/>
      <c r="D127" s="78"/>
      <c r="E127" s="78"/>
      <c r="F127" s="78"/>
      <c r="G127" s="78"/>
      <c r="H127" s="78"/>
      <c r="I127" s="79"/>
    </row>
    <row r="128" spans="1:9" ht="30" customHeight="1" x14ac:dyDescent="0.3">
      <c r="A128" s="71">
        <v>63</v>
      </c>
      <c r="B128" s="72" t="s">
        <v>70</v>
      </c>
      <c r="C128" s="8">
        <v>0.77</v>
      </c>
      <c r="D128" s="8">
        <v>0.77</v>
      </c>
      <c r="E128" s="8">
        <v>0.77</v>
      </c>
      <c r="F128" s="8">
        <v>0.77</v>
      </c>
      <c r="G128" s="8">
        <v>0.77</v>
      </c>
      <c r="H128" s="8">
        <v>0.77</v>
      </c>
      <c r="I128" s="8">
        <v>0.77</v>
      </c>
    </row>
    <row r="129" spans="1:9" ht="65.099999999999994" customHeight="1" x14ac:dyDescent="0.3">
      <c r="A129" s="71"/>
      <c r="B129" s="72"/>
      <c r="C129" s="77"/>
      <c r="D129" s="78"/>
      <c r="E129" s="78"/>
      <c r="F129" s="78"/>
      <c r="G129" s="78"/>
      <c r="H129" s="78"/>
      <c r="I129" s="79"/>
    </row>
    <row r="130" spans="1:9" ht="30" customHeight="1" x14ac:dyDescent="0.3">
      <c r="A130" s="71">
        <v>64</v>
      </c>
      <c r="B130" s="72" t="s">
        <v>71</v>
      </c>
      <c r="C130" s="8">
        <v>0.77</v>
      </c>
      <c r="D130" s="8">
        <v>0.77</v>
      </c>
      <c r="E130" s="8">
        <v>0.77</v>
      </c>
      <c r="F130" s="8">
        <v>0.77</v>
      </c>
      <c r="G130" s="8">
        <v>0.77</v>
      </c>
      <c r="H130" s="8">
        <v>0.77</v>
      </c>
      <c r="I130" s="8">
        <v>0.77</v>
      </c>
    </row>
    <row r="131" spans="1:9" ht="65.099999999999994" customHeight="1" x14ac:dyDescent="0.3">
      <c r="A131" s="71"/>
      <c r="B131" s="72"/>
      <c r="C131" s="77"/>
      <c r="D131" s="78"/>
      <c r="E131" s="78"/>
      <c r="F131" s="78"/>
      <c r="G131" s="78"/>
      <c r="H131" s="78"/>
      <c r="I131" s="79"/>
    </row>
    <row r="132" spans="1:9" ht="30" customHeight="1" x14ac:dyDescent="0.3">
      <c r="A132" s="71">
        <v>65</v>
      </c>
      <c r="B132" s="72" t="s">
        <v>72</v>
      </c>
      <c r="C132" s="8">
        <v>0.77</v>
      </c>
      <c r="D132" s="8">
        <v>0.77</v>
      </c>
      <c r="E132" s="8">
        <v>0.77</v>
      </c>
      <c r="F132" s="8">
        <v>0.77</v>
      </c>
      <c r="G132" s="8">
        <v>0.77</v>
      </c>
      <c r="H132" s="8">
        <v>0.77</v>
      </c>
      <c r="I132" s="8">
        <v>0.77</v>
      </c>
    </row>
    <row r="133" spans="1:9" ht="65.099999999999994" customHeight="1" x14ac:dyDescent="0.3">
      <c r="A133" s="71"/>
      <c r="B133" s="72"/>
      <c r="C133" s="77"/>
      <c r="D133" s="78"/>
      <c r="E133" s="78"/>
      <c r="F133" s="78"/>
      <c r="G133" s="78"/>
      <c r="H133" s="78"/>
      <c r="I133" s="79"/>
    </row>
    <row r="134" spans="1:9" ht="30" customHeight="1" x14ac:dyDescent="0.3">
      <c r="A134" s="71">
        <v>66</v>
      </c>
      <c r="B134" s="72" t="s">
        <v>73</v>
      </c>
      <c r="C134" s="8">
        <v>0.77</v>
      </c>
      <c r="D134" s="8">
        <v>0.77</v>
      </c>
      <c r="E134" s="8">
        <v>0.77</v>
      </c>
      <c r="F134" s="8">
        <v>0.77</v>
      </c>
      <c r="G134" s="8">
        <v>0.77</v>
      </c>
      <c r="H134" s="8">
        <v>0.77</v>
      </c>
      <c r="I134" s="8">
        <v>0.77</v>
      </c>
    </row>
    <row r="135" spans="1:9" ht="65.099999999999994" customHeight="1" x14ac:dyDescent="0.3">
      <c r="A135" s="71"/>
      <c r="B135" s="72"/>
      <c r="C135" s="77"/>
      <c r="D135" s="78"/>
      <c r="E135" s="78"/>
      <c r="F135" s="78"/>
      <c r="G135" s="78"/>
      <c r="H135" s="78"/>
      <c r="I135" s="79"/>
    </row>
    <row r="136" spans="1:9" ht="30" customHeight="1" x14ac:dyDescent="0.3">
      <c r="A136" s="71">
        <v>67</v>
      </c>
      <c r="B136" s="72" t="s">
        <v>74</v>
      </c>
      <c r="C136" s="8">
        <v>0.77</v>
      </c>
      <c r="D136" s="8">
        <v>0.77</v>
      </c>
      <c r="E136" s="8">
        <v>0.77</v>
      </c>
      <c r="F136" s="8">
        <v>0.77</v>
      </c>
      <c r="G136" s="8">
        <v>0.77</v>
      </c>
      <c r="H136" s="8">
        <v>0.77</v>
      </c>
      <c r="I136" s="8">
        <v>0.77</v>
      </c>
    </row>
    <row r="137" spans="1:9" ht="65.099999999999994" customHeight="1" x14ac:dyDescent="0.3">
      <c r="A137" s="71"/>
      <c r="B137" s="72"/>
      <c r="C137" s="77"/>
      <c r="D137" s="78"/>
      <c r="E137" s="78"/>
      <c r="F137" s="78"/>
      <c r="G137" s="78"/>
      <c r="H137" s="78"/>
      <c r="I137" s="79"/>
    </row>
    <row r="138" spans="1:9" ht="30" customHeight="1" x14ac:dyDescent="0.3">
      <c r="A138" s="71">
        <v>68</v>
      </c>
      <c r="B138" s="72" t="s">
        <v>75</v>
      </c>
      <c r="C138" s="8">
        <v>0.77</v>
      </c>
      <c r="D138" s="8">
        <v>0.77</v>
      </c>
      <c r="E138" s="8">
        <v>0.77</v>
      </c>
      <c r="F138" s="8">
        <v>0.77</v>
      </c>
      <c r="G138" s="8">
        <v>0.77</v>
      </c>
      <c r="H138" s="8">
        <v>0.77</v>
      </c>
      <c r="I138" s="8">
        <v>0.77</v>
      </c>
    </row>
    <row r="139" spans="1:9" ht="65.099999999999994" customHeight="1" x14ac:dyDescent="0.3">
      <c r="A139" s="71"/>
      <c r="B139" s="72"/>
      <c r="C139" s="77"/>
      <c r="D139" s="78"/>
      <c r="E139" s="78"/>
      <c r="F139" s="78"/>
      <c r="G139" s="78"/>
      <c r="H139" s="78"/>
      <c r="I139" s="79"/>
    </row>
    <row r="140" spans="1:9" ht="30" customHeight="1" x14ac:dyDescent="0.3">
      <c r="A140" s="71">
        <v>69</v>
      </c>
      <c r="B140" s="72" t="s">
        <v>76</v>
      </c>
      <c r="C140" s="8">
        <v>0.77</v>
      </c>
      <c r="D140" s="8">
        <v>0.77</v>
      </c>
      <c r="E140" s="8">
        <v>0.77</v>
      </c>
      <c r="F140" s="8">
        <v>0.77</v>
      </c>
      <c r="G140" s="8">
        <v>0.77</v>
      </c>
      <c r="H140" s="8">
        <v>0.77</v>
      </c>
      <c r="I140" s="8">
        <v>0.77</v>
      </c>
    </row>
    <row r="141" spans="1:9" ht="65.099999999999994" customHeight="1" x14ac:dyDescent="0.3">
      <c r="A141" s="71"/>
      <c r="B141" s="72"/>
      <c r="C141" s="77"/>
      <c r="D141" s="78"/>
      <c r="E141" s="78"/>
      <c r="F141" s="78"/>
      <c r="G141" s="78"/>
      <c r="H141" s="78"/>
      <c r="I141" s="79"/>
    </row>
    <row r="142" spans="1:9" ht="30" customHeight="1" x14ac:dyDescent="0.3">
      <c r="A142" s="71">
        <v>70</v>
      </c>
      <c r="B142" s="72" t="s">
        <v>77</v>
      </c>
      <c r="C142" s="8">
        <v>0.77</v>
      </c>
      <c r="D142" s="8">
        <v>0.77</v>
      </c>
      <c r="E142" s="8">
        <v>0.77</v>
      </c>
      <c r="F142" s="8">
        <v>0.77</v>
      </c>
      <c r="G142" s="8">
        <v>0.77</v>
      </c>
      <c r="H142" s="8">
        <v>0.77</v>
      </c>
      <c r="I142" s="8">
        <v>0.77</v>
      </c>
    </row>
    <row r="143" spans="1:9" ht="65.099999999999994" customHeight="1" x14ac:dyDescent="0.3">
      <c r="A143" s="71"/>
      <c r="B143" s="72"/>
      <c r="C143" s="77"/>
      <c r="D143" s="78"/>
      <c r="E143" s="78"/>
      <c r="F143" s="78"/>
      <c r="G143" s="78"/>
      <c r="H143" s="78"/>
      <c r="I143" s="79"/>
    </row>
    <row r="144" spans="1:9" ht="30" customHeight="1" x14ac:dyDescent="0.3">
      <c r="A144" s="71">
        <v>71</v>
      </c>
      <c r="B144" s="72" t="s">
        <v>78</v>
      </c>
      <c r="C144" s="8">
        <v>0.77</v>
      </c>
      <c r="D144" s="8">
        <v>0.77</v>
      </c>
      <c r="E144" s="8">
        <v>0.77</v>
      </c>
      <c r="F144" s="8">
        <v>0.77</v>
      </c>
      <c r="G144" s="8">
        <v>0.77</v>
      </c>
      <c r="H144" s="8">
        <v>0.77</v>
      </c>
      <c r="I144" s="8">
        <v>0.77</v>
      </c>
    </row>
    <row r="145" spans="1:9" ht="65.099999999999994" customHeight="1" x14ac:dyDescent="0.3">
      <c r="A145" s="71"/>
      <c r="B145" s="72"/>
      <c r="C145" s="77"/>
      <c r="D145" s="78"/>
      <c r="E145" s="78"/>
      <c r="F145" s="78"/>
      <c r="G145" s="78"/>
      <c r="H145" s="78"/>
      <c r="I145" s="79"/>
    </row>
    <row r="146" spans="1:9" ht="30" customHeight="1" x14ac:dyDescent="0.3">
      <c r="A146" s="71">
        <v>72</v>
      </c>
      <c r="B146" s="72" t="s">
        <v>79</v>
      </c>
      <c r="C146" s="8">
        <v>0.77</v>
      </c>
      <c r="D146" s="8">
        <v>0.77</v>
      </c>
      <c r="E146" s="8">
        <v>0.77</v>
      </c>
      <c r="F146" s="8">
        <v>0.77</v>
      </c>
      <c r="G146" s="8">
        <v>0.77</v>
      </c>
      <c r="H146" s="8">
        <v>0.77</v>
      </c>
      <c r="I146" s="8">
        <v>0.77</v>
      </c>
    </row>
    <row r="147" spans="1:9" ht="65.099999999999994" customHeight="1" x14ac:dyDescent="0.3">
      <c r="A147" s="71"/>
      <c r="B147" s="72"/>
      <c r="C147" s="77"/>
      <c r="D147" s="78"/>
      <c r="E147" s="78"/>
      <c r="F147" s="78"/>
      <c r="G147" s="78"/>
      <c r="H147" s="78"/>
      <c r="I147" s="79"/>
    </row>
    <row r="148" spans="1:9" ht="30" customHeight="1" x14ac:dyDescent="0.3">
      <c r="A148" s="71">
        <v>73</v>
      </c>
      <c r="B148" s="72" t="s">
        <v>80</v>
      </c>
      <c r="C148" s="8">
        <v>0.77</v>
      </c>
      <c r="D148" s="8">
        <v>0.77</v>
      </c>
      <c r="E148" s="8">
        <v>0.77</v>
      </c>
      <c r="F148" s="8">
        <v>0.77</v>
      </c>
      <c r="G148" s="8">
        <v>0.77</v>
      </c>
      <c r="H148" s="8">
        <v>0.77</v>
      </c>
      <c r="I148" s="8">
        <v>0.77</v>
      </c>
    </row>
    <row r="149" spans="1:9" ht="65.099999999999994" customHeight="1" x14ac:dyDescent="0.3">
      <c r="A149" s="71"/>
      <c r="B149" s="72"/>
      <c r="C149" s="77"/>
      <c r="D149" s="78"/>
      <c r="E149" s="78"/>
      <c r="F149" s="78"/>
      <c r="G149" s="78"/>
      <c r="H149" s="78"/>
      <c r="I149" s="79"/>
    </row>
    <row r="150" spans="1:9" ht="30" customHeight="1" x14ac:dyDescent="0.3">
      <c r="A150" s="71">
        <v>74</v>
      </c>
      <c r="B150" s="72" t="s">
        <v>81</v>
      </c>
      <c r="C150" s="8">
        <v>0.77</v>
      </c>
      <c r="D150" s="8">
        <v>0.77</v>
      </c>
      <c r="E150" s="8">
        <v>0.77</v>
      </c>
      <c r="F150" s="8">
        <v>0.77</v>
      </c>
      <c r="G150" s="8">
        <v>0.77</v>
      </c>
      <c r="H150" s="8">
        <v>0.77</v>
      </c>
      <c r="I150" s="8">
        <v>0.77</v>
      </c>
    </row>
    <row r="151" spans="1:9" ht="65.099999999999994" customHeight="1" x14ac:dyDescent="0.3">
      <c r="A151" s="71"/>
      <c r="B151" s="72"/>
      <c r="C151" s="77"/>
      <c r="D151" s="78"/>
      <c r="E151" s="78"/>
      <c r="F151" s="78"/>
      <c r="G151" s="78"/>
      <c r="H151" s="78"/>
      <c r="I151" s="79"/>
    </row>
    <row r="152" spans="1:9" ht="30" customHeight="1" x14ac:dyDescent="0.3">
      <c r="A152" s="71">
        <v>75</v>
      </c>
      <c r="B152" s="72" t="s">
        <v>82</v>
      </c>
      <c r="C152" s="8">
        <v>0.77</v>
      </c>
      <c r="D152" s="8">
        <v>0.77</v>
      </c>
      <c r="E152" s="8">
        <v>0.77</v>
      </c>
      <c r="F152" s="8">
        <v>0.77</v>
      </c>
      <c r="G152" s="8">
        <v>0.77</v>
      </c>
      <c r="H152" s="8">
        <v>0.77</v>
      </c>
      <c r="I152" s="8">
        <v>0.77</v>
      </c>
    </row>
    <row r="153" spans="1:9" ht="65.099999999999994" customHeight="1" x14ac:dyDescent="0.3">
      <c r="A153" s="71"/>
      <c r="B153" s="72"/>
      <c r="C153" s="77"/>
      <c r="D153" s="78"/>
      <c r="E153" s="78"/>
      <c r="F153" s="78"/>
      <c r="G153" s="78"/>
      <c r="H153" s="78"/>
      <c r="I153" s="79"/>
    </row>
    <row r="154" spans="1:9" ht="30" customHeight="1" x14ac:dyDescent="0.3">
      <c r="A154" s="71">
        <v>76</v>
      </c>
      <c r="B154" s="72" t="s">
        <v>83</v>
      </c>
      <c r="C154" s="8">
        <v>0.77</v>
      </c>
      <c r="D154" s="8">
        <v>0.77</v>
      </c>
      <c r="E154" s="8">
        <v>0.77</v>
      </c>
      <c r="F154" s="8">
        <v>0.77</v>
      </c>
      <c r="G154" s="8">
        <v>0.77</v>
      </c>
      <c r="H154" s="8">
        <v>0.77</v>
      </c>
      <c r="I154" s="8">
        <v>0.77</v>
      </c>
    </row>
    <row r="155" spans="1:9" ht="65.099999999999994" customHeight="1" x14ac:dyDescent="0.3">
      <c r="A155" s="71"/>
      <c r="B155" s="72"/>
      <c r="C155" s="77"/>
      <c r="D155" s="78"/>
      <c r="E155" s="78"/>
      <c r="F155" s="78"/>
      <c r="G155" s="78"/>
      <c r="H155" s="78"/>
      <c r="I155" s="79"/>
    </row>
    <row r="156" spans="1:9" ht="30" customHeight="1" x14ac:dyDescent="0.3">
      <c r="A156" s="71">
        <v>77</v>
      </c>
      <c r="B156" s="72" t="s">
        <v>84</v>
      </c>
      <c r="C156" s="8">
        <v>0.77</v>
      </c>
      <c r="D156" s="8">
        <v>0.77</v>
      </c>
      <c r="E156" s="8">
        <v>0.77</v>
      </c>
      <c r="F156" s="8">
        <v>0.77</v>
      </c>
      <c r="G156" s="8">
        <v>0.77</v>
      </c>
      <c r="H156" s="8">
        <v>0.77</v>
      </c>
      <c r="I156" s="8">
        <v>1.37</v>
      </c>
    </row>
    <row r="157" spans="1:9" ht="65.099999999999994" customHeight="1" x14ac:dyDescent="0.3">
      <c r="A157" s="71"/>
      <c r="B157" s="72"/>
      <c r="C157" s="77"/>
      <c r="D157" s="78"/>
      <c r="E157" s="78"/>
      <c r="F157" s="78"/>
      <c r="G157" s="78"/>
      <c r="H157" s="78"/>
      <c r="I157" s="79"/>
    </row>
    <row r="158" spans="1:9" ht="30" customHeight="1" x14ac:dyDescent="0.3">
      <c r="A158" s="71">
        <v>78</v>
      </c>
      <c r="B158" s="72" t="s">
        <v>85</v>
      </c>
      <c r="C158" s="8">
        <v>0.77</v>
      </c>
      <c r="D158" s="8">
        <v>0.77</v>
      </c>
      <c r="E158" s="8">
        <v>0.77</v>
      </c>
      <c r="F158" s="8">
        <v>0.77</v>
      </c>
      <c r="G158" s="8">
        <v>0.77</v>
      </c>
      <c r="H158" s="8">
        <v>0.77</v>
      </c>
      <c r="I158" s="8">
        <v>0.89</v>
      </c>
    </row>
    <row r="159" spans="1:9" ht="65.099999999999994" customHeight="1" x14ac:dyDescent="0.3">
      <c r="A159" s="71"/>
      <c r="B159" s="72"/>
      <c r="C159" s="77"/>
      <c r="D159" s="78"/>
      <c r="E159" s="78"/>
      <c r="F159" s="78"/>
      <c r="G159" s="78"/>
      <c r="H159" s="78"/>
      <c r="I159" s="79"/>
    </row>
    <row r="160" spans="1:9" ht="30" customHeight="1" x14ac:dyDescent="0.3">
      <c r="A160" s="71">
        <v>79</v>
      </c>
      <c r="B160" s="72" t="s">
        <v>86</v>
      </c>
      <c r="C160" s="8">
        <v>0.77</v>
      </c>
      <c r="D160" s="8">
        <v>0.77</v>
      </c>
      <c r="E160" s="8">
        <v>0.77</v>
      </c>
      <c r="F160" s="8">
        <v>0.77</v>
      </c>
      <c r="G160" s="8">
        <v>0.77</v>
      </c>
      <c r="H160" s="8">
        <v>0.77</v>
      </c>
      <c r="I160" s="9">
        <v>3.4</v>
      </c>
    </row>
    <row r="161" spans="1:9" ht="65.099999999999994" customHeight="1" x14ac:dyDescent="0.3">
      <c r="A161" s="71"/>
      <c r="B161" s="72"/>
      <c r="C161" s="77"/>
      <c r="D161" s="78"/>
      <c r="E161" s="78"/>
      <c r="F161" s="78"/>
      <c r="G161" s="78"/>
      <c r="H161" s="78"/>
      <c r="I161" s="79"/>
    </row>
    <row r="162" spans="1:9" ht="30" customHeight="1" x14ac:dyDescent="0.3">
      <c r="A162" s="71">
        <v>80</v>
      </c>
      <c r="B162" s="72" t="s">
        <v>87</v>
      </c>
      <c r="C162" s="8">
        <v>0.77</v>
      </c>
      <c r="D162" s="8">
        <v>0.77</v>
      </c>
      <c r="E162" s="8">
        <v>0.77</v>
      </c>
      <c r="F162" s="8">
        <v>0.77</v>
      </c>
      <c r="G162" s="8">
        <v>0.77</v>
      </c>
      <c r="H162" s="8">
        <v>0.77</v>
      </c>
      <c r="I162" s="8">
        <v>0.77</v>
      </c>
    </row>
    <row r="163" spans="1:9" ht="65.099999999999994" customHeight="1" x14ac:dyDescent="0.3">
      <c r="A163" s="71"/>
      <c r="B163" s="72"/>
      <c r="C163" s="77"/>
      <c r="D163" s="78"/>
      <c r="E163" s="78"/>
      <c r="F163" s="78"/>
      <c r="G163" s="78"/>
      <c r="H163" s="78"/>
      <c r="I163" s="79"/>
    </row>
    <row r="164" spans="1:9" ht="30" customHeight="1" x14ac:dyDescent="0.3">
      <c r="A164" s="71">
        <v>81</v>
      </c>
      <c r="B164" s="72" t="s">
        <v>88</v>
      </c>
      <c r="C164" s="8">
        <v>0.77</v>
      </c>
      <c r="D164" s="8">
        <v>0.77</v>
      </c>
      <c r="E164" s="8">
        <v>0.77</v>
      </c>
      <c r="F164" s="8">
        <v>0.77</v>
      </c>
      <c r="G164" s="8">
        <v>0.77</v>
      </c>
      <c r="H164" s="8">
        <v>0.77</v>
      </c>
      <c r="I164" s="8">
        <v>0.77</v>
      </c>
    </row>
    <row r="165" spans="1:9" ht="65.099999999999994" customHeight="1" x14ac:dyDescent="0.3">
      <c r="A165" s="71"/>
      <c r="B165" s="72"/>
      <c r="C165" s="77"/>
      <c r="D165" s="78"/>
      <c r="E165" s="78"/>
      <c r="F165" s="78"/>
      <c r="G165" s="78"/>
      <c r="H165" s="78"/>
      <c r="I165" s="79"/>
    </row>
    <row r="166" spans="1:9" ht="30" customHeight="1" x14ac:dyDescent="0.3">
      <c r="A166" s="71">
        <v>82</v>
      </c>
      <c r="B166" s="72" t="s">
        <v>89</v>
      </c>
      <c r="C166" s="8">
        <v>0.77</v>
      </c>
      <c r="D166" s="8">
        <v>0.77</v>
      </c>
      <c r="E166" s="8">
        <v>0.77</v>
      </c>
      <c r="F166" s="8">
        <v>0.77</v>
      </c>
      <c r="G166" s="8">
        <v>0.77</v>
      </c>
      <c r="H166" s="8">
        <v>0.77</v>
      </c>
      <c r="I166" s="8">
        <v>0.77</v>
      </c>
    </row>
    <row r="167" spans="1:9" ht="65.099999999999994" customHeight="1" x14ac:dyDescent="0.3">
      <c r="A167" s="71"/>
      <c r="B167" s="72"/>
      <c r="C167" s="77"/>
      <c r="D167" s="78"/>
      <c r="E167" s="78"/>
      <c r="F167" s="78"/>
      <c r="G167" s="78"/>
      <c r="H167" s="78"/>
      <c r="I167" s="79"/>
    </row>
    <row r="168" spans="1:9" ht="30" customHeight="1" x14ac:dyDescent="0.3">
      <c r="A168" s="71">
        <v>83</v>
      </c>
      <c r="B168" s="72" t="s">
        <v>90</v>
      </c>
      <c r="C168" s="8">
        <v>0.77</v>
      </c>
      <c r="D168" s="8">
        <v>0.77</v>
      </c>
      <c r="E168" s="8">
        <v>0.77</v>
      </c>
      <c r="F168" s="8">
        <v>0.77</v>
      </c>
      <c r="G168" s="8">
        <v>0.77</v>
      </c>
      <c r="H168" s="8">
        <v>0.77</v>
      </c>
      <c r="I168" s="8">
        <v>0.77</v>
      </c>
    </row>
    <row r="169" spans="1:9" ht="65.099999999999994" customHeight="1" x14ac:dyDescent="0.3">
      <c r="A169" s="71"/>
      <c r="B169" s="72"/>
      <c r="C169" s="77"/>
      <c r="D169" s="78"/>
      <c r="E169" s="78"/>
      <c r="F169" s="78"/>
      <c r="G169" s="78"/>
      <c r="H169" s="78"/>
      <c r="I169" s="79"/>
    </row>
    <row r="170" spans="1:9" ht="30" customHeight="1" x14ac:dyDescent="0.3">
      <c r="A170" s="71">
        <v>84</v>
      </c>
      <c r="B170" s="72" t="s">
        <v>91</v>
      </c>
      <c r="C170" s="8">
        <v>0.77</v>
      </c>
      <c r="D170" s="8">
        <v>0.77</v>
      </c>
      <c r="E170" s="8">
        <v>0.77</v>
      </c>
      <c r="F170" s="8">
        <v>0.77</v>
      </c>
      <c r="G170" s="8">
        <v>0.77</v>
      </c>
      <c r="H170" s="8">
        <v>0.77</v>
      </c>
      <c r="I170" s="8">
        <v>0.77</v>
      </c>
    </row>
    <row r="171" spans="1:9" ht="65.099999999999994" customHeight="1" x14ac:dyDescent="0.3">
      <c r="A171" s="71"/>
      <c r="B171" s="72"/>
      <c r="C171" s="77"/>
      <c r="D171" s="78"/>
      <c r="E171" s="78"/>
      <c r="F171" s="78"/>
      <c r="G171" s="78"/>
      <c r="H171" s="78"/>
      <c r="I171" s="79"/>
    </row>
    <row r="172" spans="1:9" ht="30" customHeight="1" x14ac:dyDescent="0.3">
      <c r="A172" s="71">
        <v>85</v>
      </c>
      <c r="B172" s="72" t="s">
        <v>92</v>
      </c>
      <c r="C172" s="8">
        <v>0.77</v>
      </c>
      <c r="D172" s="8">
        <v>0.77</v>
      </c>
      <c r="E172" s="8">
        <v>0.77</v>
      </c>
      <c r="F172" s="8">
        <v>0.77</v>
      </c>
      <c r="G172" s="8">
        <v>0.77</v>
      </c>
      <c r="H172" s="8">
        <v>0.77</v>
      </c>
      <c r="I172" s="8">
        <v>0.77</v>
      </c>
    </row>
    <row r="173" spans="1:9" ht="65.099999999999994" customHeight="1" x14ac:dyDescent="0.3">
      <c r="A173" s="71"/>
      <c r="B173" s="72"/>
      <c r="C173" s="77"/>
      <c r="D173" s="78"/>
      <c r="E173" s="78"/>
      <c r="F173" s="78"/>
      <c r="G173" s="78"/>
      <c r="H173" s="78"/>
      <c r="I173" s="79"/>
    </row>
    <row r="174" spans="1:9" ht="30" customHeight="1" x14ac:dyDescent="0.3">
      <c r="A174" s="71">
        <v>86</v>
      </c>
      <c r="B174" s="72" t="s">
        <v>93</v>
      </c>
      <c r="C174" s="8">
        <v>0.77</v>
      </c>
      <c r="D174" s="8">
        <v>0.77</v>
      </c>
      <c r="E174" s="8">
        <v>0.77</v>
      </c>
      <c r="F174" s="8">
        <v>0.77</v>
      </c>
      <c r="G174" s="8">
        <v>0.77</v>
      </c>
      <c r="H174" s="8">
        <v>0.77</v>
      </c>
      <c r="I174" s="8">
        <v>0.77</v>
      </c>
    </row>
    <row r="175" spans="1:9" ht="65.099999999999994" customHeight="1" x14ac:dyDescent="0.3">
      <c r="A175" s="71"/>
      <c r="B175" s="72"/>
      <c r="C175" s="77"/>
      <c r="D175" s="78"/>
      <c r="E175" s="78"/>
      <c r="F175" s="78"/>
      <c r="G175" s="78"/>
      <c r="H175" s="78"/>
      <c r="I175" s="79"/>
    </row>
    <row r="176" spans="1:9" ht="30" customHeight="1" x14ac:dyDescent="0.3">
      <c r="A176" s="71">
        <v>87</v>
      </c>
      <c r="B176" s="72" t="s">
        <v>94</v>
      </c>
      <c r="C176" s="8">
        <v>0.77</v>
      </c>
      <c r="D176" s="8">
        <v>0.77</v>
      </c>
      <c r="E176" s="8">
        <v>0.77</v>
      </c>
      <c r="F176" s="8">
        <v>0.77</v>
      </c>
      <c r="G176" s="8">
        <v>0.77</v>
      </c>
      <c r="H176" s="8">
        <v>0.77</v>
      </c>
      <c r="I176" s="8">
        <v>0.77</v>
      </c>
    </row>
    <row r="177" spans="1:9" ht="65.099999999999994" customHeight="1" x14ac:dyDescent="0.3">
      <c r="A177" s="71"/>
      <c r="B177" s="72"/>
      <c r="C177" s="77"/>
      <c r="D177" s="78"/>
      <c r="E177" s="78"/>
      <c r="F177" s="78"/>
      <c r="G177" s="78"/>
      <c r="H177" s="78"/>
      <c r="I177" s="79"/>
    </row>
    <row r="178" spans="1:9" ht="30" customHeight="1" x14ac:dyDescent="0.3">
      <c r="A178" s="71">
        <v>88</v>
      </c>
      <c r="B178" s="72" t="s">
        <v>95</v>
      </c>
      <c r="C178" s="8">
        <v>0.77</v>
      </c>
      <c r="D178" s="8">
        <v>0.77</v>
      </c>
      <c r="E178" s="8">
        <v>0.77</v>
      </c>
      <c r="F178" s="8">
        <v>0.77</v>
      </c>
      <c r="G178" s="8">
        <v>0.77</v>
      </c>
      <c r="H178" s="8">
        <v>0.77</v>
      </c>
      <c r="I178" s="8">
        <v>0.77</v>
      </c>
    </row>
    <row r="179" spans="1:9" ht="65.099999999999994" customHeight="1" x14ac:dyDescent="0.3">
      <c r="A179" s="71"/>
      <c r="B179" s="72"/>
      <c r="C179" s="77"/>
      <c r="D179" s="78"/>
      <c r="E179" s="78"/>
      <c r="F179" s="78"/>
      <c r="G179" s="78"/>
      <c r="H179" s="78"/>
      <c r="I179" s="79"/>
    </row>
    <row r="180" spans="1:9" ht="30" customHeight="1" x14ac:dyDescent="0.3">
      <c r="A180" s="71">
        <v>89</v>
      </c>
      <c r="B180" s="72" t="s">
        <v>96</v>
      </c>
      <c r="C180" s="8">
        <v>0.77</v>
      </c>
      <c r="D180" s="8">
        <v>0.77</v>
      </c>
      <c r="E180" s="8">
        <v>0.77</v>
      </c>
      <c r="F180" s="8">
        <v>0.77</v>
      </c>
      <c r="G180" s="8">
        <v>0.77</v>
      </c>
      <c r="H180" s="8">
        <v>0.77</v>
      </c>
      <c r="I180" s="8">
        <v>0.77</v>
      </c>
    </row>
    <row r="181" spans="1:9" ht="65.099999999999994" customHeight="1" x14ac:dyDescent="0.3">
      <c r="A181" s="71"/>
      <c r="B181" s="72"/>
      <c r="C181" s="77"/>
      <c r="D181" s="78"/>
      <c r="E181" s="78"/>
      <c r="F181" s="78"/>
      <c r="G181" s="78"/>
      <c r="H181" s="78"/>
      <c r="I181" s="79"/>
    </row>
    <row r="182" spans="1:9" ht="30" customHeight="1" x14ac:dyDescent="0.3">
      <c r="A182" s="71">
        <v>90</v>
      </c>
      <c r="B182" s="72" t="s">
        <v>97</v>
      </c>
      <c r="C182" s="8">
        <v>0.77</v>
      </c>
      <c r="D182" s="8">
        <v>0.77</v>
      </c>
      <c r="E182" s="8">
        <v>0.77</v>
      </c>
      <c r="F182" s="8">
        <v>0.77</v>
      </c>
      <c r="G182" s="8">
        <v>0.77</v>
      </c>
      <c r="H182" s="8">
        <v>0.77</v>
      </c>
      <c r="I182" s="8">
        <v>0.77</v>
      </c>
    </row>
    <row r="183" spans="1:9" ht="65.099999999999994" customHeight="1" x14ac:dyDescent="0.3">
      <c r="A183" s="71"/>
      <c r="B183" s="72"/>
      <c r="C183" s="77"/>
      <c r="D183" s="78"/>
      <c r="E183" s="78"/>
      <c r="F183" s="78"/>
      <c r="G183" s="78"/>
      <c r="H183" s="78"/>
      <c r="I183" s="79"/>
    </row>
    <row r="184" spans="1:9" ht="30" customHeight="1" x14ac:dyDescent="0.3">
      <c r="A184" s="71">
        <v>91</v>
      </c>
      <c r="B184" s="72" t="s">
        <v>98</v>
      </c>
      <c r="C184" s="8">
        <v>0.77</v>
      </c>
      <c r="D184" s="8">
        <v>0.77</v>
      </c>
      <c r="E184" s="8">
        <v>0.77</v>
      </c>
      <c r="F184" s="8">
        <v>0.77</v>
      </c>
      <c r="G184" s="8">
        <v>0.77</v>
      </c>
      <c r="H184" s="8">
        <v>0.77</v>
      </c>
      <c r="I184" s="8">
        <v>0.77</v>
      </c>
    </row>
    <row r="185" spans="1:9" ht="65.099999999999994" customHeight="1" x14ac:dyDescent="0.3">
      <c r="A185" s="71"/>
      <c r="B185" s="72"/>
      <c r="C185" s="77"/>
      <c r="D185" s="78"/>
      <c r="E185" s="78"/>
      <c r="F185" s="78"/>
      <c r="G185" s="78"/>
      <c r="H185" s="78"/>
      <c r="I185" s="79"/>
    </row>
    <row r="186" spans="1:9" ht="30" customHeight="1" x14ac:dyDescent="0.3">
      <c r="A186" s="71">
        <v>92</v>
      </c>
      <c r="B186" s="72" t="s">
        <v>99</v>
      </c>
      <c r="C186" s="8">
        <v>0.77</v>
      </c>
      <c r="D186" s="8">
        <v>0.77</v>
      </c>
      <c r="E186" s="8">
        <v>0.77</v>
      </c>
      <c r="F186" s="8">
        <v>0.77</v>
      </c>
      <c r="G186" s="8">
        <v>0.77</v>
      </c>
      <c r="H186" s="8">
        <v>0.77</v>
      </c>
      <c r="I186" s="8">
        <v>0.77</v>
      </c>
    </row>
    <row r="187" spans="1:9" ht="65.099999999999994" customHeight="1" x14ac:dyDescent="0.3">
      <c r="A187" s="71"/>
      <c r="B187" s="72"/>
      <c r="C187" s="77"/>
      <c r="D187" s="78"/>
      <c r="E187" s="78"/>
      <c r="F187" s="78"/>
      <c r="G187" s="78"/>
      <c r="H187" s="78"/>
      <c r="I187" s="79"/>
    </row>
    <row r="188" spans="1:9" ht="30" customHeight="1" x14ac:dyDescent="0.3">
      <c r="A188" s="71">
        <v>93</v>
      </c>
      <c r="B188" s="72" t="s">
        <v>100</v>
      </c>
      <c r="C188" s="8">
        <v>0.77</v>
      </c>
      <c r="D188" s="8">
        <v>0.77</v>
      </c>
      <c r="E188" s="8">
        <v>0.77</v>
      </c>
      <c r="F188" s="8">
        <v>0.77</v>
      </c>
      <c r="G188" s="8">
        <v>0.77</v>
      </c>
      <c r="H188" s="8">
        <v>0.77</v>
      </c>
      <c r="I188" s="8">
        <v>0.77</v>
      </c>
    </row>
    <row r="189" spans="1:9" ht="65.099999999999994" customHeight="1" x14ac:dyDescent="0.3">
      <c r="A189" s="71"/>
      <c r="B189" s="72"/>
      <c r="C189" s="77"/>
      <c r="D189" s="78"/>
      <c r="E189" s="78"/>
      <c r="F189" s="78"/>
      <c r="G189" s="78"/>
      <c r="H189" s="78"/>
      <c r="I189" s="79"/>
    </row>
    <row r="190" spans="1:9" ht="30" customHeight="1" x14ac:dyDescent="0.3">
      <c r="A190" s="71">
        <v>94</v>
      </c>
      <c r="B190" s="72" t="s">
        <v>101</v>
      </c>
      <c r="C190" s="8">
        <v>0.77</v>
      </c>
      <c r="D190" s="8">
        <v>0.77</v>
      </c>
      <c r="E190" s="8">
        <v>0.77</v>
      </c>
      <c r="F190" s="8">
        <v>0.77</v>
      </c>
      <c r="G190" s="8">
        <v>0.77</v>
      </c>
      <c r="H190" s="8">
        <v>0.77</v>
      </c>
      <c r="I190" s="8">
        <v>0.77</v>
      </c>
    </row>
    <row r="191" spans="1:9" ht="65.099999999999994" customHeight="1" x14ac:dyDescent="0.3">
      <c r="A191" s="71"/>
      <c r="B191" s="72"/>
      <c r="C191" s="77"/>
      <c r="D191" s="78"/>
      <c r="E191" s="78"/>
      <c r="F191" s="78"/>
      <c r="G191" s="78"/>
      <c r="H191" s="78"/>
      <c r="I191" s="79"/>
    </row>
    <row r="192" spans="1:9" ht="30" customHeight="1" x14ac:dyDescent="0.3">
      <c r="A192" s="71">
        <v>95</v>
      </c>
      <c r="B192" s="72" t="s">
        <v>102</v>
      </c>
      <c r="C192" s="8">
        <v>0.77</v>
      </c>
      <c r="D192" s="8">
        <v>0.77</v>
      </c>
      <c r="E192" s="8">
        <v>0.77</v>
      </c>
      <c r="F192" s="8">
        <v>0.77</v>
      </c>
      <c r="G192" s="8">
        <v>0.77</v>
      </c>
      <c r="H192" s="8">
        <v>0.77</v>
      </c>
      <c r="I192" s="8">
        <v>0.77</v>
      </c>
    </row>
    <row r="193" spans="1:9" ht="65.099999999999994" customHeight="1" x14ac:dyDescent="0.3">
      <c r="A193" s="71"/>
      <c r="B193" s="72"/>
      <c r="C193" s="77"/>
      <c r="D193" s="78"/>
      <c r="E193" s="78"/>
      <c r="F193" s="78"/>
      <c r="G193" s="78"/>
      <c r="H193" s="78"/>
      <c r="I193" s="79"/>
    </row>
    <row r="194" spans="1:9" ht="30" customHeight="1" x14ac:dyDescent="0.3">
      <c r="A194" s="71">
        <v>96</v>
      </c>
      <c r="B194" s="72" t="s">
        <v>103</v>
      </c>
      <c r="C194" s="8">
        <v>0.77</v>
      </c>
      <c r="D194" s="8">
        <v>0.77</v>
      </c>
      <c r="E194" s="8">
        <v>0.77</v>
      </c>
      <c r="F194" s="8">
        <v>0.77</v>
      </c>
      <c r="G194" s="8">
        <v>0.77</v>
      </c>
      <c r="H194" s="8">
        <v>0.77</v>
      </c>
      <c r="I194" s="9">
        <v>1.1000000000000001</v>
      </c>
    </row>
    <row r="195" spans="1:9" ht="65.099999999999994" customHeight="1" x14ac:dyDescent="0.3">
      <c r="A195" s="71"/>
      <c r="B195" s="72"/>
      <c r="C195" s="77"/>
      <c r="D195" s="78"/>
      <c r="E195" s="78"/>
      <c r="F195" s="78"/>
      <c r="G195" s="78"/>
      <c r="H195" s="78"/>
      <c r="I195" s="79"/>
    </row>
    <row r="196" spans="1:9" ht="30" customHeight="1" x14ac:dyDescent="0.3">
      <c r="A196" s="71">
        <v>97</v>
      </c>
      <c r="B196" s="72" t="s">
        <v>104</v>
      </c>
      <c r="C196" s="8">
        <v>0.77</v>
      </c>
      <c r="D196" s="8">
        <v>0.77</v>
      </c>
      <c r="E196" s="8">
        <v>0.77</v>
      </c>
      <c r="F196" s="8">
        <v>0.77</v>
      </c>
      <c r="G196" s="8">
        <v>0.77</v>
      </c>
      <c r="H196" s="8">
        <v>0.77</v>
      </c>
      <c r="I196" s="8">
        <v>0.77</v>
      </c>
    </row>
    <row r="197" spans="1:9" ht="65.099999999999994" customHeight="1" x14ac:dyDescent="0.3">
      <c r="A197" s="71"/>
      <c r="B197" s="72"/>
      <c r="C197" s="77"/>
      <c r="D197" s="78"/>
      <c r="E197" s="78"/>
      <c r="F197" s="78"/>
      <c r="G197" s="78"/>
      <c r="H197" s="78"/>
      <c r="I197" s="79"/>
    </row>
    <row r="198" spans="1:9" ht="30" customHeight="1" x14ac:dyDescent="0.3">
      <c r="A198" s="71">
        <v>98</v>
      </c>
      <c r="B198" s="72" t="s">
        <v>105</v>
      </c>
      <c r="C198" s="8">
        <v>0.77</v>
      </c>
      <c r="D198" s="8">
        <v>0.77</v>
      </c>
      <c r="E198" s="8">
        <v>0.77</v>
      </c>
      <c r="F198" s="8">
        <v>0.77</v>
      </c>
      <c r="G198" s="8">
        <v>0.77</v>
      </c>
      <c r="H198" s="8">
        <v>0.77</v>
      </c>
      <c r="I198" s="8">
        <v>0.77</v>
      </c>
    </row>
    <row r="199" spans="1:9" ht="65.099999999999994" customHeight="1" x14ac:dyDescent="0.3">
      <c r="A199" s="71"/>
      <c r="B199" s="72"/>
      <c r="C199" s="77"/>
      <c r="D199" s="78"/>
      <c r="E199" s="78"/>
      <c r="F199" s="78"/>
      <c r="G199" s="78"/>
      <c r="H199" s="78"/>
      <c r="I199" s="79"/>
    </row>
    <row r="200" spans="1:9" ht="30" customHeight="1" x14ac:dyDescent="0.3">
      <c r="A200" s="71">
        <v>99</v>
      </c>
      <c r="B200" s="72" t="s">
        <v>106</v>
      </c>
      <c r="C200" s="8">
        <v>0.77</v>
      </c>
      <c r="D200" s="8">
        <v>0.77</v>
      </c>
      <c r="E200" s="8">
        <v>0.77</v>
      </c>
      <c r="F200" s="8">
        <v>0.77</v>
      </c>
      <c r="G200" s="8">
        <v>0.77</v>
      </c>
      <c r="H200" s="8">
        <v>0.77</v>
      </c>
      <c r="I200" s="8">
        <v>0.77</v>
      </c>
    </row>
    <row r="201" spans="1:9" ht="65.099999999999994" customHeight="1" x14ac:dyDescent="0.3">
      <c r="A201" s="71"/>
      <c r="B201" s="72"/>
      <c r="C201" s="77"/>
      <c r="D201" s="78"/>
      <c r="E201" s="78"/>
      <c r="F201" s="78"/>
      <c r="G201" s="78"/>
      <c r="H201" s="78"/>
      <c r="I201" s="79"/>
    </row>
    <row r="202" spans="1:9" ht="30" customHeight="1" x14ac:dyDescent="0.3">
      <c r="A202" s="71">
        <v>100</v>
      </c>
      <c r="B202" s="72" t="s">
        <v>107</v>
      </c>
      <c r="C202" s="8">
        <v>0.77</v>
      </c>
      <c r="D202" s="8">
        <v>0.77</v>
      </c>
      <c r="E202" s="8">
        <v>0.77</v>
      </c>
      <c r="F202" s="8">
        <v>0.77</v>
      </c>
      <c r="G202" s="8">
        <v>0.77</v>
      </c>
      <c r="H202" s="8">
        <v>0.77</v>
      </c>
      <c r="I202" s="8">
        <v>0.77</v>
      </c>
    </row>
    <row r="203" spans="1:9" ht="65.099999999999994" customHeight="1" x14ac:dyDescent="0.3">
      <c r="A203" s="71"/>
      <c r="B203" s="72"/>
      <c r="C203" s="77"/>
      <c r="D203" s="78"/>
      <c r="E203" s="78"/>
      <c r="F203" s="78"/>
      <c r="G203" s="78"/>
      <c r="H203" s="78"/>
      <c r="I203" s="79"/>
    </row>
    <row r="204" spans="1:9" ht="30" customHeight="1" x14ac:dyDescent="0.3">
      <c r="A204" s="71">
        <v>101</v>
      </c>
      <c r="B204" s="72" t="s">
        <v>108</v>
      </c>
      <c r="C204" s="8">
        <v>0.77</v>
      </c>
      <c r="D204" s="8">
        <v>0.77</v>
      </c>
      <c r="E204" s="8">
        <v>0.77</v>
      </c>
      <c r="F204" s="8">
        <v>0.77</v>
      </c>
      <c r="G204" s="8">
        <v>0.77</v>
      </c>
      <c r="H204" s="8">
        <v>0.77</v>
      </c>
      <c r="I204" s="8">
        <v>0.77</v>
      </c>
    </row>
    <row r="205" spans="1:9" ht="65.099999999999994" customHeight="1" x14ac:dyDescent="0.3">
      <c r="A205" s="71"/>
      <c r="B205" s="72"/>
      <c r="C205" s="77"/>
      <c r="D205" s="78"/>
      <c r="E205" s="78"/>
      <c r="F205" s="78"/>
      <c r="G205" s="78"/>
      <c r="H205" s="78"/>
      <c r="I205" s="79"/>
    </row>
    <row r="206" spans="1:9" ht="30" customHeight="1" x14ac:dyDescent="0.3">
      <c r="A206" s="71">
        <v>102</v>
      </c>
      <c r="B206" s="72" t="s">
        <v>109</v>
      </c>
      <c r="C206" s="8">
        <v>0.77</v>
      </c>
      <c r="D206" s="8">
        <v>0.77</v>
      </c>
      <c r="E206" s="8">
        <v>0.77</v>
      </c>
      <c r="F206" s="8">
        <v>0.77</v>
      </c>
      <c r="G206" s="8">
        <v>0.77</v>
      </c>
      <c r="H206" s="8">
        <v>0.77</v>
      </c>
      <c r="I206" s="8">
        <v>0.77</v>
      </c>
    </row>
    <row r="207" spans="1:9" ht="65.099999999999994" customHeight="1" x14ac:dyDescent="0.3">
      <c r="A207" s="71"/>
      <c r="B207" s="72"/>
      <c r="C207" s="77"/>
      <c r="D207" s="78"/>
      <c r="E207" s="78"/>
      <c r="F207" s="78"/>
      <c r="G207" s="78"/>
      <c r="H207" s="78"/>
      <c r="I207" s="79"/>
    </row>
    <row r="208" spans="1:9" ht="30" customHeight="1" x14ac:dyDescent="0.3">
      <c r="A208" s="71">
        <v>103</v>
      </c>
      <c r="B208" s="72" t="s">
        <v>110</v>
      </c>
      <c r="C208" s="8">
        <v>0.77</v>
      </c>
      <c r="D208" s="8">
        <v>0.77</v>
      </c>
      <c r="E208" s="8">
        <v>0.77</v>
      </c>
      <c r="F208" s="8">
        <v>0.77</v>
      </c>
      <c r="G208" s="8">
        <v>0.77</v>
      </c>
      <c r="H208" s="8">
        <v>0.77</v>
      </c>
      <c r="I208" s="8">
        <v>0.77</v>
      </c>
    </row>
    <row r="209" spans="1:9" ht="65.099999999999994" customHeight="1" x14ac:dyDescent="0.3">
      <c r="A209" s="71"/>
      <c r="B209" s="72"/>
      <c r="C209" s="77"/>
      <c r="D209" s="78"/>
      <c r="E209" s="78"/>
      <c r="F209" s="78"/>
      <c r="G209" s="78"/>
      <c r="H209" s="78"/>
      <c r="I209" s="79"/>
    </row>
    <row r="210" spans="1:9" ht="30" customHeight="1" x14ac:dyDescent="0.3">
      <c r="A210" s="71">
        <v>104</v>
      </c>
      <c r="B210" s="72" t="s">
        <v>111</v>
      </c>
      <c r="C210" s="8">
        <v>0.77</v>
      </c>
      <c r="D210" s="8">
        <v>0.77</v>
      </c>
      <c r="E210" s="8">
        <v>0.77</v>
      </c>
      <c r="F210" s="8">
        <v>0.77</v>
      </c>
      <c r="G210" s="8">
        <v>0.77</v>
      </c>
      <c r="H210" s="8">
        <v>0.77</v>
      </c>
      <c r="I210" s="8">
        <v>0.77</v>
      </c>
    </row>
    <row r="211" spans="1:9" ht="65.099999999999994" customHeight="1" x14ac:dyDescent="0.3">
      <c r="A211" s="71"/>
      <c r="B211" s="72"/>
      <c r="C211" s="77"/>
      <c r="D211" s="78"/>
      <c r="E211" s="78"/>
      <c r="F211" s="78"/>
      <c r="G211" s="78"/>
      <c r="H211" s="78"/>
      <c r="I211" s="79"/>
    </row>
    <row r="212" spans="1:9" ht="30" customHeight="1" x14ac:dyDescent="0.3">
      <c r="A212" s="71">
        <v>105</v>
      </c>
      <c r="B212" s="72" t="s">
        <v>112</v>
      </c>
      <c r="C212" s="8">
        <v>0.77</v>
      </c>
      <c r="D212" s="8">
        <v>0.77</v>
      </c>
      <c r="E212" s="8">
        <v>0.77</v>
      </c>
      <c r="F212" s="8">
        <v>0.77</v>
      </c>
      <c r="G212" s="8">
        <v>0.77</v>
      </c>
      <c r="H212" s="8">
        <v>0.77</v>
      </c>
      <c r="I212" s="8">
        <v>0.77</v>
      </c>
    </row>
    <row r="213" spans="1:9" ht="65.099999999999994" customHeight="1" x14ac:dyDescent="0.3">
      <c r="A213" s="71"/>
      <c r="B213" s="72"/>
      <c r="C213" s="77"/>
      <c r="D213" s="78"/>
      <c r="E213" s="78"/>
      <c r="F213" s="78"/>
      <c r="G213" s="78"/>
      <c r="H213" s="78"/>
      <c r="I213" s="79"/>
    </row>
    <row r="214" spans="1:9" ht="30" customHeight="1" x14ac:dyDescent="0.3">
      <c r="A214" s="71">
        <v>106</v>
      </c>
      <c r="B214" s="72" t="s">
        <v>113</v>
      </c>
      <c r="C214" s="8">
        <v>0.77</v>
      </c>
      <c r="D214" s="8">
        <v>0.77</v>
      </c>
      <c r="E214" s="8">
        <v>0.77</v>
      </c>
      <c r="F214" s="8">
        <v>0.77</v>
      </c>
      <c r="G214" s="8">
        <v>0.77</v>
      </c>
      <c r="H214" s="8">
        <v>0.77</v>
      </c>
      <c r="I214" s="8">
        <v>0.77</v>
      </c>
    </row>
    <row r="215" spans="1:9" ht="65.099999999999994" customHeight="1" x14ac:dyDescent="0.3">
      <c r="A215" s="71"/>
      <c r="B215" s="72"/>
      <c r="C215" s="77"/>
      <c r="D215" s="78"/>
      <c r="E215" s="78"/>
      <c r="F215" s="78"/>
      <c r="G215" s="78"/>
      <c r="H215" s="78"/>
      <c r="I215" s="79"/>
    </row>
    <row r="216" spans="1:9" ht="30" customHeight="1" x14ac:dyDescent="0.3">
      <c r="A216" s="71">
        <v>107</v>
      </c>
      <c r="B216" s="72" t="s">
        <v>114</v>
      </c>
      <c r="C216" s="8">
        <v>0.77</v>
      </c>
      <c r="D216" s="8">
        <v>0.77</v>
      </c>
      <c r="E216" s="8">
        <v>0.77</v>
      </c>
      <c r="F216" s="8">
        <v>0.77</v>
      </c>
      <c r="G216" s="8">
        <v>0.77</v>
      </c>
      <c r="H216" s="8">
        <v>0.77</v>
      </c>
      <c r="I216" s="8">
        <v>0.77</v>
      </c>
    </row>
    <row r="217" spans="1:9" ht="65.099999999999994" customHeight="1" x14ac:dyDescent="0.3">
      <c r="A217" s="71"/>
      <c r="B217" s="72"/>
      <c r="C217" s="77"/>
      <c r="D217" s="78"/>
      <c r="E217" s="78"/>
      <c r="F217" s="78"/>
      <c r="G217" s="78"/>
      <c r="H217" s="78"/>
      <c r="I217" s="79"/>
    </row>
    <row r="218" spans="1:9" ht="30" customHeight="1" x14ac:dyDescent="0.3">
      <c r="A218" s="71">
        <v>108</v>
      </c>
      <c r="B218" s="72" t="s">
        <v>115</v>
      </c>
      <c r="C218" s="8">
        <v>0.77</v>
      </c>
      <c r="D218" s="8">
        <v>0.77</v>
      </c>
      <c r="E218" s="8">
        <v>0.77</v>
      </c>
      <c r="F218" s="8">
        <v>0.77</v>
      </c>
      <c r="G218" s="8">
        <v>0.77</v>
      </c>
      <c r="H218" s="8">
        <v>0.77</v>
      </c>
      <c r="I218" s="8">
        <v>0.77</v>
      </c>
    </row>
    <row r="219" spans="1:9" ht="65.099999999999994" customHeight="1" x14ac:dyDescent="0.3">
      <c r="A219" s="71"/>
      <c r="B219" s="72"/>
      <c r="C219" s="77"/>
      <c r="D219" s="78"/>
      <c r="E219" s="78"/>
      <c r="F219" s="78"/>
      <c r="G219" s="78"/>
      <c r="H219" s="78"/>
      <c r="I219" s="79"/>
    </row>
    <row r="220" spans="1:9" ht="30" customHeight="1" x14ac:dyDescent="0.3">
      <c r="A220" s="71">
        <v>109</v>
      </c>
      <c r="B220" s="72" t="s">
        <v>116</v>
      </c>
      <c r="C220" s="8">
        <v>0.77</v>
      </c>
      <c r="D220" s="8">
        <v>0.77</v>
      </c>
      <c r="E220" s="8">
        <v>0.77</v>
      </c>
      <c r="F220" s="8">
        <v>0.77</v>
      </c>
      <c r="G220" s="8">
        <v>0.77</v>
      </c>
      <c r="H220" s="8">
        <v>0.77</v>
      </c>
      <c r="I220" s="8">
        <v>0.77</v>
      </c>
    </row>
    <row r="221" spans="1:9" ht="65.099999999999994" customHeight="1" x14ac:dyDescent="0.3">
      <c r="A221" s="71"/>
      <c r="B221" s="72"/>
      <c r="C221" s="77"/>
      <c r="D221" s="78"/>
      <c r="E221" s="78"/>
      <c r="F221" s="78"/>
      <c r="G221" s="78"/>
      <c r="H221" s="78"/>
      <c r="I221" s="79"/>
    </row>
    <row r="222" spans="1:9" ht="30" customHeight="1" x14ac:dyDescent="0.3">
      <c r="A222" s="71">
        <v>110</v>
      </c>
      <c r="B222" s="72" t="s">
        <v>117</v>
      </c>
      <c r="C222" s="8">
        <v>0.77</v>
      </c>
      <c r="D222" s="8">
        <v>0.77</v>
      </c>
      <c r="E222" s="8">
        <v>0.77</v>
      </c>
      <c r="F222" s="8">
        <v>0.77</v>
      </c>
      <c r="G222" s="8">
        <v>0.77</v>
      </c>
      <c r="H222" s="8">
        <v>0.77</v>
      </c>
      <c r="I222" s="8">
        <v>0.77</v>
      </c>
    </row>
    <row r="223" spans="1:9" ht="65.099999999999994" customHeight="1" x14ac:dyDescent="0.3">
      <c r="A223" s="71"/>
      <c r="B223" s="72"/>
      <c r="C223" s="77"/>
      <c r="D223" s="78"/>
      <c r="E223" s="78"/>
      <c r="F223" s="78"/>
      <c r="G223" s="78"/>
      <c r="H223" s="78"/>
      <c r="I223" s="79"/>
    </row>
    <row r="224" spans="1:9" ht="30" customHeight="1" x14ac:dyDescent="0.3">
      <c r="A224" s="71">
        <v>111</v>
      </c>
      <c r="B224" s="72" t="s">
        <v>118</v>
      </c>
      <c r="C224" s="8">
        <v>0.77</v>
      </c>
      <c r="D224" s="8">
        <v>0.77</v>
      </c>
      <c r="E224" s="8">
        <v>0.77</v>
      </c>
      <c r="F224" s="8">
        <v>0.77</v>
      </c>
      <c r="G224" s="8">
        <v>0.77</v>
      </c>
      <c r="H224" s="8">
        <v>0.77</v>
      </c>
      <c r="I224" s="8">
        <v>0.77</v>
      </c>
    </row>
    <row r="225" spans="1:9" ht="65.099999999999994" customHeight="1" x14ac:dyDescent="0.3">
      <c r="A225" s="71"/>
      <c r="B225" s="72"/>
      <c r="C225" s="77"/>
      <c r="D225" s="78"/>
      <c r="E225" s="78"/>
      <c r="F225" s="78"/>
      <c r="G225" s="78"/>
      <c r="H225" s="78"/>
      <c r="I225" s="79"/>
    </row>
    <row r="226" spans="1:9" ht="30" customHeight="1" x14ac:dyDescent="0.3">
      <c r="A226" s="71">
        <v>112</v>
      </c>
      <c r="B226" s="72" t="s">
        <v>119</v>
      </c>
      <c r="C226" s="8">
        <v>0.77</v>
      </c>
      <c r="D226" s="8">
        <v>0.77</v>
      </c>
      <c r="E226" s="8">
        <v>0.77</v>
      </c>
      <c r="F226" s="8">
        <v>0.77</v>
      </c>
      <c r="G226" s="8">
        <v>0.77</v>
      </c>
      <c r="H226" s="8">
        <v>0.77</v>
      </c>
      <c r="I226" s="8">
        <v>0.77</v>
      </c>
    </row>
    <row r="227" spans="1:9" ht="65.099999999999994" customHeight="1" x14ac:dyDescent="0.3">
      <c r="A227" s="71"/>
      <c r="B227" s="72"/>
      <c r="C227" s="77"/>
      <c r="D227" s="78"/>
      <c r="E227" s="78"/>
      <c r="F227" s="78"/>
      <c r="G227" s="78"/>
      <c r="H227" s="78"/>
      <c r="I227" s="79"/>
    </row>
    <row r="228" spans="1:9" ht="30" customHeight="1" x14ac:dyDescent="0.3">
      <c r="A228" s="71">
        <v>113</v>
      </c>
      <c r="B228" s="72" t="s">
        <v>120</v>
      </c>
      <c r="C228" s="8">
        <v>0.77</v>
      </c>
      <c r="D228" s="8">
        <v>0.77</v>
      </c>
      <c r="E228" s="8">
        <v>0.77</v>
      </c>
      <c r="F228" s="8">
        <v>0.77</v>
      </c>
      <c r="G228" s="8">
        <v>0.77</v>
      </c>
      <c r="H228" s="8">
        <v>0.77</v>
      </c>
      <c r="I228" s="8">
        <v>0.77</v>
      </c>
    </row>
    <row r="229" spans="1:9" ht="65.099999999999994" customHeight="1" x14ac:dyDescent="0.3">
      <c r="A229" s="71"/>
      <c r="B229" s="72"/>
      <c r="C229" s="77"/>
      <c r="D229" s="78"/>
      <c r="E229" s="78"/>
      <c r="F229" s="78"/>
      <c r="G229" s="78"/>
      <c r="H229" s="78"/>
      <c r="I229" s="79"/>
    </row>
    <row r="230" spans="1:9" ht="30" customHeight="1" x14ac:dyDescent="0.3">
      <c r="A230" s="71">
        <v>114</v>
      </c>
      <c r="B230" s="72" t="s">
        <v>121</v>
      </c>
      <c r="C230" s="8">
        <v>0.77</v>
      </c>
      <c r="D230" s="8">
        <v>0.77</v>
      </c>
      <c r="E230" s="8">
        <v>0.77</v>
      </c>
      <c r="F230" s="8">
        <v>0.77</v>
      </c>
      <c r="G230" s="8">
        <v>0.77</v>
      </c>
      <c r="H230" s="8">
        <v>0.77</v>
      </c>
      <c r="I230" s="8">
        <v>0.77</v>
      </c>
    </row>
    <row r="231" spans="1:9" ht="65.099999999999994" customHeight="1" x14ac:dyDescent="0.3">
      <c r="A231" s="71"/>
      <c r="B231" s="72"/>
      <c r="C231" s="77"/>
      <c r="D231" s="78"/>
      <c r="E231" s="78"/>
      <c r="F231" s="78"/>
      <c r="G231" s="78"/>
      <c r="H231" s="78"/>
      <c r="I231" s="79"/>
    </row>
    <row r="232" spans="1:9" ht="30" customHeight="1" x14ac:dyDescent="0.3">
      <c r="A232" s="71">
        <v>115</v>
      </c>
      <c r="B232" s="72" t="s">
        <v>122</v>
      </c>
      <c r="C232" s="8">
        <v>0.77</v>
      </c>
      <c r="D232" s="8">
        <v>0.77</v>
      </c>
      <c r="E232" s="8">
        <v>0.77</v>
      </c>
      <c r="F232" s="8">
        <v>0.77</v>
      </c>
      <c r="G232" s="8">
        <v>0.77</v>
      </c>
      <c r="H232" s="8">
        <v>0.77</v>
      </c>
      <c r="I232" s="8">
        <v>0.77</v>
      </c>
    </row>
    <row r="233" spans="1:9" ht="65.099999999999994" customHeight="1" x14ac:dyDescent="0.3">
      <c r="A233" s="71"/>
      <c r="B233" s="72"/>
      <c r="C233" s="77"/>
      <c r="D233" s="78"/>
      <c r="E233" s="78"/>
      <c r="F233" s="78"/>
      <c r="G233" s="78"/>
      <c r="H233" s="78"/>
      <c r="I233" s="79"/>
    </row>
    <row r="234" spans="1:9" ht="30" customHeight="1" x14ac:dyDescent="0.3">
      <c r="A234" s="71">
        <v>116</v>
      </c>
      <c r="B234" s="72" t="s">
        <v>123</v>
      </c>
      <c r="C234" s="8">
        <v>0.77</v>
      </c>
      <c r="D234" s="8">
        <v>0.77</v>
      </c>
      <c r="E234" s="8">
        <v>0.77</v>
      </c>
      <c r="F234" s="8">
        <v>0.77</v>
      </c>
      <c r="G234" s="8">
        <v>0.77</v>
      </c>
      <c r="H234" s="8">
        <v>0.77</v>
      </c>
      <c r="I234" s="8">
        <v>0.77</v>
      </c>
    </row>
    <row r="235" spans="1:9" ht="65.099999999999994" customHeight="1" x14ac:dyDescent="0.3">
      <c r="A235" s="71"/>
      <c r="B235" s="72"/>
      <c r="C235" s="77"/>
      <c r="D235" s="78"/>
      <c r="E235" s="78"/>
      <c r="F235" s="78"/>
      <c r="G235" s="78"/>
      <c r="H235" s="78"/>
      <c r="I235" s="79"/>
    </row>
    <row r="236" spans="1:9" ht="30" customHeight="1" x14ac:dyDescent="0.3">
      <c r="A236" s="71">
        <v>117</v>
      </c>
      <c r="B236" s="72" t="s">
        <v>124</v>
      </c>
      <c r="C236" s="8">
        <v>0.77</v>
      </c>
      <c r="D236" s="8">
        <v>0.77</v>
      </c>
      <c r="E236" s="8">
        <v>0.77</v>
      </c>
      <c r="F236" s="8">
        <v>0.77</v>
      </c>
      <c r="G236" s="8">
        <v>0.77</v>
      </c>
      <c r="H236" s="8">
        <v>0.77</v>
      </c>
      <c r="I236" s="8">
        <v>0.77</v>
      </c>
    </row>
    <row r="237" spans="1:9" ht="65.099999999999994" customHeight="1" x14ac:dyDescent="0.3">
      <c r="A237" s="71"/>
      <c r="B237" s="72"/>
      <c r="C237" s="77"/>
      <c r="D237" s="78"/>
      <c r="E237" s="78"/>
      <c r="F237" s="78"/>
      <c r="G237" s="78"/>
      <c r="H237" s="78"/>
      <c r="I237" s="79"/>
    </row>
    <row r="239" spans="1:9" x14ac:dyDescent="0.3">
      <c r="A239" s="2" t="s">
        <v>134</v>
      </c>
    </row>
    <row r="240" spans="1:9" x14ac:dyDescent="0.3">
      <c r="A240" s="2" t="s">
        <v>133</v>
      </c>
    </row>
  </sheetData>
  <mergeCells count="352">
    <mergeCell ref="A1:I1"/>
    <mergeCell ref="C209:I209"/>
    <mergeCell ref="C229:I229"/>
    <mergeCell ref="C231:I231"/>
    <mergeCell ref="C185:I185"/>
    <mergeCell ref="C187:I187"/>
    <mergeCell ref="C189:I189"/>
    <mergeCell ref="C191:I191"/>
    <mergeCell ref="C193:I193"/>
    <mergeCell ref="C195:I195"/>
    <mergeCell ref="C173:I173"/>
    <mergeCell ref="C175:I175"/>
    <mergeCell ref="C177:I177"/>
    <mergeCell ref="C179:I179"/>
    <mergeCell ref="C181:I181"/>
    <mergeCell ref="C183:I183"/>
    <mergeCell ref="C161:I161"/>
    <mergeCell ref="C163:I163"/>
    <mergeCell ref="C165:I165"/>
    <mergeCell ref="C167:I167"/>
    <mergeCell ref="C169:I169"/>
    <mergeCell ref="C171:I171"/>
    <mergeCell ref="C149:I149"/>
    <mergeCell ref="C151:I151"/>
    <mergeCell ref="C233:I233"/>
    <mergeCell ref="C235:I235"/>
    <mergeCell ref="C237:I237"/>
    <mergeCell ref="C211:I211"/>
    <mergeCell ref="C213:I213"/>
    <mergeCell ref="C215:I215"/>
    <mergeCell ref="C217:I217"/>
    <mergeCell ref="C197:I197"/>
    <mergeCell ref="C199:I199"/>
    <mergeCell ref="C201:I201"/>
    <mergeCell ref="C203:I203"/>
    <mergeCell ref="C205:I205"/>
    <mergeCell ref="C207:I207"/>
    <mergeCell ref="C219:I219"/>
    <mergeCell ref="C221:I221"/>
    <mergeCell ref="C223:I223"/>
    <mergeCell ref="C225:I225"/>
    <mergeCell ref="C227:I227"/>
    <mergeCell ref="C153:I153"/>
    <mergeCell ref="C155:I155"/>
    <mergeCell ref="C157:I157"/>
    <mergeCell ref="C159:I159"/>
    <mergeCell ref="C137:I137"/>
    <mergeCell ref="C139:I139"/>
    <mergeCell ref="C141:I141"/>
    <mergeCell ref="C143:I143"/>
    <mergeCell ref="C145:I145"/>
    <mergeCell ref="C147:I147"/>
    <mergeCell ref="C125:I125"/>
    <mergeCell ref="C127:I127"/>
    <mergeCell ref="C129:I129"/>
    <mergeCell ref="C131:I131"/>
    <mergeCell ref="C133:I133"/>
    <mergeCell ref="C135:I135"/>
    <mergeCell ref="C113:I113"/>
    <mergeCell ref="C115:I115"/>
    <mergeCell ref="C117:I117"/>
    <mergeCell ref="C119:I119"/>
    <mergeCell ref="C121:I121"/>
    <mergeCell ref="C123:I123"/>
    <mergeCell ref="C101:I101"/>
    <mergeCell ref="C103:I103"/>
    <mergeCell ref="C105:I105"/>
    <mergeCell ref="C107:I107"/>
    <mergeCell ref="C109:I109"/>
    <mergeCell ref="C111:I111"/>
    <mergeCell ref="C89:I89"/>
    <mergeCell ref="C91:I91"/>
    <mergeCell ref="C93:I93"/>
    <mergeCell ref="C95:I95"/>
    <mergeCell ref="C97:I97"/>
    <mergeCell ref="C99:I99"/>
    <mergeCell ref="C77:I77"/>
    <mergeCell ref="C79:I79"/>
    <mergeCell ref="C81:I81"/>
    <mergeCell ref="C83:I83"/>
    <mergeCell ref="C85:I85"/>
    <mergeCell ref="C87:I87"/>
    <mergeCell ref="C65:I65"/>
    <mergeCell ref="C67:I67"/>
    <mergeCell ref="C69:I69"/>
    <mergeCell ref="C71:I71"/>
    <mergeCell ref="C73:I73"/>
    <mergeCell ref="C75:I75"/>
    <mergeCell ref="C53:I53"/>
    <mergeCell ref="C55:I55"/>
    <mergeCell ref="C57:I57"/>
    <mergeCell ref="C59:I59"/>
    <mergeCell ref="C61:I61"/>
    <mergeCell ref="C63:I63"/>
    <mergeCell ref="C43:I43"/>
    <mergeCell ref="C45:I45"/>
    <mergeCell ref="C47:I47"/>
    <mergeCell ref="C49:I49"/>
    <mergeCell ref="C51:I51"/>
    <mergeCell ref="A16:A17"/>
    <mergeCell ref="B16:B17"/>
    <mergeCell ref="A18:A19"/>
    <mergeCell ref="B18:B19"/>
    <mergeCell ref="A20:A21"/>
    <mergeCell ref="B20:B21"/>
    <mergeCell ref="C27:I27"/>
    <mergeCell ref="C29:I29"/>
    <mergeCell ref="C17:I17"/>
    <mergeCell ref="C19:I19"/>
    <mergeCell ref="C21:I21"/>
    <mergeCell ref="C23:I23"/>
    <mergeCell ref="C25:I25"/>
    <mergeCell ref="A28:A29"/>
    <mergeCell ref="B28:B29"/>
    <mergeCell ref="A22:A23"/>
    <mergeCell ref="B22:B23"/>
    <mergeCell ref="A24:A25"/>
    <mergeCell ref="B24:B25"/>
    <mergeCell ref="A26:A27"/>
    <mergeCell ref="B26:B27"/>
    <mergeCell ref="A4:A5"/>
    <mergeCell ref="B4:B5"/>
    <mergeCell ref="A6:A7"/>
    <mergeCell ref="B6:B7"/>
    <mergeCell ref="A8:A9"/>
    <mergeCell ref="B8:B9"/>
    <mergeCell ref="C9:I9"/>
    <mergeCell ref="C11:I11"/>
    <mergeCell ref="C15:I15"/>
    <mergeCell ref="A10:A11"/>
    <mergeCell ref="B10:B11"/>
    <mergeCell ref="A12:A13"/>
    <mergeCell ref="B12:B13"/>
    <mergeCell ref="A14:A15"/>
    <mergeCell ref="B14:B15"/>
    <mergeCell ref="C13:I13"/>
    <mergeCell ref="B30:B31"/>
    <mergeCell ref="C41:I41"/>
    <mergeCell ref="A42:A43"/>
    <mergeCell ref="B42:B43"/>
    <mergeCell ref="C31:I31"/>
    <mergeCell ref="C33:I33"/>
    <mergeCell ref="C35:I35"/>
    <mergeCell ref="C37:I37"/>
    <mergeCell ref="C39:I39"/>
    <mergeCell ref="A30:A31"/>
    <mergeCell ref="A32:A33"/>
    <mergeCell ref="B32:B33"/>
    <mergeCell ref="A44:A45"/>
    <mergeCell ref="B44:B45"/>
    <mergeCell ref="A34:A35"/>
    <mergeCell ref="B34:B35"/>
    <mergeCell ref="A36:A37"/>
    <mergeCell ref="B36:B37"/>
    <mergeCell ref="A38:A39"/>
    <mergeCell ref="B38:B39"/>
    <mergeCell ref="A40:A41"/>
    <mergeCell ref="B40:B41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2:A73"/>
    <mergeCell ref="B72:B73"/>
    <mergeCell ref="A74:A75"/>
    <mergeCell ref="B74:B75"/>
    <mergeCell ref="A76:A77"/>
    <mergeCell ref="B76:B77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88:A89"/>
    <mergeCell ref="B88:B89"/>
    <mergeCell ref="A90:A91"/>
    <mergeCell ref="B90:B91"/>
    <mergeCell ref="A92:A93"/>
    <mergeCell ref="B92:B93"/>
    <mergeCell ref="A94:A95"/>
    <mergeCell ref="B94:B95"/>
    <mergeCell ref="A96:A97"/>
    <mergeCell ref="B96:B97"/>
    <mergeCell ref="A98:A99"/>
    <mergeCell ref="B98:B99"/>
    <mergeCell ref="A100:A101"/>
    <mergeCell ref="B100:B101"/>
    <mergeCell ref="A102:A103"/>
    <mergeCell ref="B102:B103"/>
    <mergeCell ref="A104:A105"/>
    <mergeCell ref="B104:B105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A122:A123"/>
    <mergeCell ref="B122:B123"/>
    <mergeCell ref="A124:A125"/>
    <mergeCell ref="B124:B125"/>
    <mergeCell ref="A126:A127"/>
    <mergeCell ref="B126:B127"/>
    <mergeCell ref="A128:A129"/>
    <mergeCell ref="B128:B129"/>
    <mergeCell ref="A130:A131"/>
    <mergeCell ref="B130:B131"/>
    <mergeCell ref="A132:A133"/>
    <mergeCell ref="B132:B133"/>
    <mergeCell ref="A134:A135"/>
    <mergeCell ref="B134:B135"/>
    <mergeCell ref="A136:A137"/>
    <mergeCell ref="B136:B137"/>
    <mergeCell ref="A138:A139"/>
    <mergeCell ref="B138:B139"/>
    <mergeCell ref="A140:A141"/>
    <mergeCell ref="B140:B141"/>
    <mergeCell ref="A142:A143"/>
    <mergeCell ref="B142:B143"/>
    <mergeCell ref="A144:A145"/>
    <mergeCell ref="B144:B145"/>
    <mergeCell ref="A146:A147"/>
    <mergeCell ref="B146:B147"/>
    <mergeCell ref="A148:A149"/>
    <mergeCell ref="B148:B149"/>
    <mergeCell ref="A150:A151"/>
    <mergeCell ref="B150:B151"/>
    <mergeCell ref="A152:A153"/>
    <mergeCell ref="B152:B153"/>
    <mergeCell ref="A154:A155"/>
    <mergeCell ref="B154:B155"/>
    <mergeCell ref="A156:A157"/>
    <mergeCell ref="B156:B157"/>
    <mergeCell ref="A158:A159"/>
    <mergeCell ref="B158:B159"/>
    <mergeCell ref="A160:A161"/>
    <mergeCell ref="B160:B161"/>
    <mergeCell ref="A162:A163"/>
    <mergeCell ref="B162:B163"/>
    <mergeCell ref="A164:A165"/>
    <mergeCell ref="B164:B165"/>
    <mergeCell ref="A166:A167"/>
    <mergeCell ref="B166:B167"/>
    <mergeCell ref="A168:A169"/>
    <mergeCell ref="B168:B169"/>
    <mergeCell ref="A170:A171"/>
    <mergeCell ref="B170:B171"/>
    <mergeCell ref="A172:A173"/>
    <mergeCell ref="B172:B173"/>
    <mergeCell ref="A174:A175"/>
    <mergeCell ref="B174:B175"/>
    <mergeCell ref="A176:A177"/>
    <mergeCell ref="B176:B177"/>
    <mergeCell ref="A178:A179"/>
    <mergeCell ref="B178:B179"/>
    <mergeCell ref="A180:A181"/>
    <mergeCell ref="B180:B181"/>
    <mergeCell ref="A182:A183"/>
    <mergeCell ref="B182:B183"/>
    <mergeCell ref="A184:A185"/>
    <mergeCell ref="B184:B185"/>
    <mergeCell ref="A186:A187"/>
    <mergeCell ref="B186:B187"/>
    <mergeCell ref="A188:A189"/>
    <mergeCell ref="B188:B189"/>
    <mergeCell ref="A190:A191"/>
    <mergeCell ref="B190:B191"/>
    <mergeCell ref="A192:A193"/>
    <mergeCell ref="B192:B193"/>
    <mergeCell ref="A194:A195"/>
    <mergeCell ref="B194:B195"/>
    <mergeCell ref="A196:A197"/>
    <mergeCell ref="B196:B197"/>
    <mergeCell ref="A198:A199"/>
    <mergeCell ref="B198:B199"/>
    <mergeCell ref="A200:A201"/>
    <mergeCell ref="B200:B201"/>
    <mergeCell ref="A202:A203"/>
    <mergeCell ref="B202:B203"/>
    <mergeCell ref="A204:A205"/>
    <mergeCell ref="B204:B205"/>
    <mergeCell ref="A212:A213"/>
    <mergeCell ref="B212:B213"/>
    <mergeCell ref="A224:A225"/>
    <mergeCell ref="B224:B225"/>
    <mergeCell ref="A214:A215"/>
    <mergeCell ref="B214:B215"/>
    <mergeCell ref="A216:A217"/>
    <mergeCell ref="B216:B217"/>
    <mergeCell ref="A218:A219"/>
    <mergeCell ref="B218:B219"/>
    <mergeCell ref="A236:A237"/>
    <mergeCell ref="B236:B237"/>
    <mergeCell ref="A226:A227"/>
    <mergeCell ref="B226:B227"/>
    <mergeCell ref="A228:A229"/>
    <mergeCell ref="B228:B229"/>
    <mergeCell ref="A230:A231"/>
    <mergeCell ref="B230:B231"/>
    <mergeCell ref="C5:I5"/>
    <mergeCell ref="C7:I7"/>
    <mergeCell ref="A232:A233"/>
    <mergeCell ref="B232:B233"/>
    <mergeCell ref="A234:A235"/>
    <mergeCell ref="B234:B235"/>
    <mergeCell ref="A220:A221"/>
    <mergeCell ref="B220:B221"/>
    <mergeCell ref="A222:A223"/>
    <mergeCell ref="B222:B223"/>
    <mergeCell ref="A206:A207"/>
    <mergeCell ref="B206:B207"/>
    <mergeCell ref="A208:A209"/>
    <mergeCell ref="B208:B209"/>
    <mergeCell ref="A210:A211"/>
    <mergeCell ref="B210:B211"/>
  </mergeCells>
  <pageMargins left="0.7" right="0.7" top="0.75" bottom="0.75" header="0.3" footer="0.3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manualMax="1" manualMin="0.5" lineWeight="2.25" displayEmptyCellsAs="gap" minAxisType="custom" maxAxisType="custom" xr2:uid="{00000000-0003-0000-0300-0000ED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Odpis_fundusz_podstawowy!C236:I236</xm:f>
              <xm:sqref>C237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EC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Odpis_fundusz_podstawowy!C234:I234</xm:f>
              <xm:sqref>C235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EB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Odpis_fundusz_podstawowy!C232:I232</xm:f>
              <xm:sqref>C233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EA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Odpis_fundusz_podstawowy!C230:I230</xm:f>
              <xm:sqref>C231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E9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Odpis_fundusz_podstawowy!C228:I228</xm:f>
              <xm:sqref>C229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E8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Odpis_fundusz_podstawowy!C226:I226</xm:f>
              <xm:sqref>C227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E7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Odpis_fundusz_podstawowy!C224:I224</xm:f>
              <xm:sqref>C225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E6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Odpis_fundusz_podstawowy!C222:I222</xm:f>
              <xm:sqref>C223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E5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Odpis_fundusz_podstawowy!C220:I220</xm:f>
              <xm:sqref>C221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E4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Odpis_fundusz_podstawowy!C218:I218</xm:f>
              <xm:sqref>C219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E3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Odpis_fundusz_podstawowy!C216:I216</xm:f>
              <xm:sqref>C217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E2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Odpis_fundusz_podstawowy!C214:I214</xm:f>
              <xm:sqref>C215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E1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Odpis_fundusz_podstawowy!C212:I212</xm:f>
              <xm:sqref>C213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E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Odpis_fundusz_podstawowy!C210:I210</xm:f>
              <xm:sqref>C211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DF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Odpis_fundusz_podstawowy!C208:I208</xm:f>
              <xm:sqref>C209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DE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Odpis_fundusz_podstawowy!C206:I206</xm:f>
              <xm:sqref>C207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DD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Odpis_fundusz_podstawowy!C204:I204</xm:f>
              <xm:sqref>C205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DC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Odpis_fundusz_podstawowy!C202:I202</xm:f>
              <xm:sqref>C203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DB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Odpis_fundusz_podstawowy!C200:I200</xm:f>
              <xm:sqref>C201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DA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Odpis_fundusz_podstawowy!C198:I198</xm:f>
              <xm:sqref>C199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D9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Odpis_fundusz_podstawowy!C196:I196</xm:f>
              <xm:sqref>C197</xm:sqref>
            </x14:sparkline>
          </x14:sparklines>
        </x14:sparklineGroup>
        <x14:sparklineGroup manualMin="0.5" lineWeight="2.25" displayEmptyCellsAs="gap" minAxisType="custom" xr2:uid="{00000000-0003-0000-0300-0000D8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Odpis_fundusz_podstawowy!C194:I194</xm:f>
              <xm:sqref>C195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D7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Odpis_fundusz_podstawowy!C192:I192</xm:f>
              <xm:sqref>C193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D6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Odpis_fundusz_podstawowy!C190:I190</xm:f>
              <xm:sqref>C191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D5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Odpis_fundusz_podstawowy!C188:I188</xm:f>
              <xm:sqref>C189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D4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Odpis_fundusz_podstawowy!C186:I186</xm:f>
              <xm:sqref>C187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D3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Odpis_fundusz_podstawowy!C184:I184</xm:f>
              <xm:sqref>C185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D2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Odpis_fundusz_podstawowy!C182:I182</xm:f>
              <xm:sqref>C183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D1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Odpis_fundusz_podstawowy!C180:I180</xm:f>
              <xm:sqref>C181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D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Odpis_fundusz_podstawowy!C178:I178</xm:f>
              <xm:sqref>C179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CF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Odpis_fundusz_podstawowy!C176:I176</xm:f>
              <xm:sqref>C177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CE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Odpis_fundusz_podstawowy!C174:I174</xm:f>
              <xm:sqref>C175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CD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Odpis_fundusz_podstawowy!C172:I172</xm:f>
              <xm:sqref>C173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CC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Odpis_fundusz_podstawowy!C170:I170</xm:f>
              <xm:sqref>C171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CB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Odpis_fundusz_podstawowy!C168:I168</xm:f>
              <xm:sqref>C169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CA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Odpis_fundusz_podstawowy!C166:I166</xm:f>
              <xm:sqref>C167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C9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Odpis_fundusz_podstawowy!C164:I164</xm:f>
              <xm:sqref>C165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C8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Odpis_fundusz_podstawowy!C162:I162</xm:f>
              <xm:sqref>C163</xm:sqref>
            </x14:sparkline>
          </x14:sparklines>
        </x14:sparklineGroup>
        <x14:sparklineGroup manualMin="0.5" lineWeight="2.25" displayEmptyCellsAs="gap" minAxisType="custom" xr2:uid="{00000000-0003-0000-0300-0000C7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Odpis_fundusz_podstawowy!C160:I160</xm:f>
              <xm:sqref>C161</xm:sqref>
            </x14:sparkline>
          </x14:sparklines>
        </x14:sparklineGroup>
        <x14:sparklineGroup manualMin="0.5" lineWeight="2.25" displayEmptyCellsAs="gap" minAxisType="custom" xr2:uid="{00000000-0003-0000-0300-0000C6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Odpis_fundusz_podstawowy!C158:I158</xm:f>
              <xm:sqref>C159</xm:sqref>
            </x14:sparkline>
          </x14:sparklines>
        </x14:sparklineGroup>
        <x14:sparklineGroup manualMin="0.5" lineWeight="2.25" displayEmptyCellsAs="gap" minAxisType="custom" xr2:uid="{00000000-0003-0000-0300-0000C5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Odpis_fundusz_podstawowy!C156:I156</xm:f>
              <xm:sqref>C157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C4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Odpis_fundusz_podstawowy!C154:I154</xm:f>
              <xm:sqref>C155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C3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Odpis_fundusz_podstawowy!C152:I152</xm:f>
              <xm:sqref>C153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C2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Odpis_fundusz_podstawowy!C150:I150</xm:f>
              <xm:sqref>C151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C1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Odpis_fundusz_podstawowy!C148:I148</xm:f>
              <xm:sqref>C149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C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Odpis_fundusz_podstawowy!C146:I146</xm:f>
              <xm:sqref>C147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BF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Odpis_fundusz_podstawowy!C144:I144</xm:f>
              <xm:sqref>C145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BE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Odpis_fundusz_podstawowy!C142:I142</xm:f>
              <xm:sqref>C143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BD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Odpis_fundusz_podstawowy!C140:I140</xm:f>
              <xm:sqref>C141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BC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Odpis_fundusz_podstawowy!C138:I138</xm:f>
              <xm:sqref>C139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BB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Odpis_fundusz_podstawowy!C136:I136</xm:f>
              <xm:sqref>C137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BA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Odpis_fundusz_podstawowy!C134:I134</xm:f>
              <xm:sqref>C135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B9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Odpis_fundusz_podstawowy!C132:I132</xm:f>
              <xm:sqref>C133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B8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Odpis_fundusz_podstawowy!C130:I130</xm:f>
              <xm:sqref>C131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B7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Odpis_fundusz_podstawowy!C128:I128</xm:f>
              <xm:sqref>C129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B6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Odpis_fundusz_podstawowy!C126:I126</xm:f>
              <xm:sqref>C127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B5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Odpis_fundusz_podstawowy!C124:I124</xm:f>
              <xm:sqref>C125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B4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Odpis_fundusz_podstawowy!C122:I122</xm:f>
              <xm:sqref>C123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B3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Odpis_fundusz_podstawowy!C120:I120</xm:f>
              <xm:sqref>C121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B2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Odpis_fundusz_podstawowy!C118:I118</xm:f>
              <xm:sqref>C119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B1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Odpis_fundusz_podstawowy!C116:I116</xm:f>
              <xm:sqref>C117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B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Odpis_fundusz_podstawowy!C114:I114</xm:f>
              <xm:sqref>C115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AF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Odpis_fundusz_podstawowy!C112:I112</xm:f>
              <xm:sqref>C113</xm:sqref>
            </x14:sparkline>
          </x14:sparklines>
        </x14:sparklineGroup>
        <x14:sparklineGroup manualMin="0.5" lineWeight="2.25" displayEmptyCellsAs="gap" minAxisType="custom" xr2:uid="{00000000-0003-0000-0300-0000AE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Odpis_fundusz_podstawowy!C110:I110</xm:f>
              <xm:sqref>C111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AD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Odpis_fundusz_podstawowy!C108:I108</xm:f>
              <xm:sqref>C109</xm:sqref>
            </x14:sparkline>
          </x14:sparklines>
        </x14:sparklineGroup>
        <x14:sparklineGroup manualMin="0.5" lineWeight="2.25" displayEmptyCellsAs="gap" minAxisType="custom" xr2:uid="{00000000-0003-0000-0300-0000AC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Odpis_fundusz_podstawowy!C106:I106</xm:f>
              <xm:sqref>C107</xm:sqref>
            </x14:sparkline>
          </x14:sparklines>
        </x14:sparklineGroup>
        <x14:sparklineGroup manualMin="0.5" lineWeight="2.25" displayEmptyCellsAs="gap" minAxisType="custom" xr2:uid="{00000000-0003-0000-0300-0000AB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Odpis_fundusz_podstawowy!C104:I104</xm:f>
              <xm:sqref>C105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AA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Odpis_fundusz_podstawowy!C102:I102</xm:f>
              <xm:sqref>C103</xm:sqref>
            </x14:sparkline>
          </x14:sparklines>
        </x14:sparklineGroup>
        <x14:sparklineGroup manualMin="0.5" lineWeight="2.25" displayEmptyCellsAs="gap" minAxisType="custom" xr2:uid="{00000000-0003-0000-0300-0000A9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Odpis_fundusz_podstawowy!C100:I100</xm:f>
              <xm:sqref>C101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A8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Odpis_fundusz_podstawowy!C98:I98</xm:f>
              <xm:sqref>C99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A7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Odpis_fundusz_podstawowy!C96:I96</xm:f>
              <xm:sqref>C97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A6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Odpis_fundusz_podstawowy!C94:I94</xm:f>
              <xm:sqref>C95</xm:sqref>
            </x14:sparkline>
          </x14:sparklines>
        </x14:sparklineGroup>
        <x14:sparklineGroup manualMin="0.5" lineWeight="2.25" displayEmptyCellsAs="gap" minAxisType="custom" xr2:uid="{00000000-0003-0000-0300-0000A5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Odpis_fundusz_podstawowy!C92:I92</xm:f>
              <xm:sqref>C93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A4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Odpis_fundusz_podstawowy!C90:I90</xm:f>
              <xm:sqref>C91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A3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Odpis_fundusz_podstawowy!C88:I88</xm:f>
              <xm:sqref>C89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A2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Odpis_fundusz_podstawowy!C86:I86</xm:f>
              <xm:sqref>C87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A1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Odpis_fundusz_podstawowy!C84:I84</xm:f>
              <xm:sqref>C85</xm:sqref>
            </x14:sparkline>
          </x14:sparklines>
        </x14:sparklineGroup>
        <x14:sparklineGroup manualMin="0.5" lineWeight="2.25" displayEmptyCellsAs="gap" minAxisType="custom" xr2:uid="{00000000-0003-0000-0300-0000A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Odpis_fundusz_podstawowy!C82:I82</xm:f>
              <xm:sqref>C83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9F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Odpis_fundusz_podstawowy!C80:I80</xm:f>
              <xm:sqref>C81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9E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Odpis_fundusz_podstawowy!C78:I78</xm:f>
              <xm:sqref>C79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9D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Odpis_fundusz_podstawowy!C76:I76</xm:f>
              <xm:sqref>C77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9C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Odpis_fundusz_podstawowy!C74:I74</xm:f>
              <xm:sqref>C75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9B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Odpis_fundusz_podstawowy!C72:I72</xm:f>
              <xm:sqref>C73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9A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Odpis_fundusz_podstawowy!C70:I70</xm:f>
              <xm:sqref>C71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99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Odpis_fundusz_podstawowy!C68:I68</xm:f>
              <xm:sqref>C69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98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Odpis_fundusz_podstawowy!C66:I66</xm:f>
              <xm:sqref>C67</xm:sqref>
            </x14:sparkline>
          </x14:sparklines>
        </x14:sparklineGroup>
        <x14:sparklineGroup manualMin="0.5" lineWeight="2.25" displayEmptyCellsAs="gap" minAxisType="custom" xr2:uid="{00000000-0003-0000-0300-000097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Odpis_fundusz_podstawowy!C64:I64</xm:f>
              <xm:sqref>C65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96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Odpis_fundusz_podstawowy!C62:I62</xm:f>
              <xm:sqref>C63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95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Odpis_fundusz_podstawowy!C60:I60</xm:f>
              <xm:sqref>C61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94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Odpis_fundusz_podstawowy!C58:I58</xm:f>
              <xm:sqref>C59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93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Odpis_fundusz_podstawowy!C56:I56</xm:f>
              <xm:sqref>C57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92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Odpis_fundusz_podstawowy!C54:I54</xm:f>
              <xm:sqref>C55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91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Odpis_fundusz_podstawowy!C52:I52</xm:f>
              <xm:sqref>C53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9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Odpis_fundusz_podstawowy!C50:I50</xm:f>
              <xm:sqref>C51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8F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Odpis_fundusz_podstawowy!C48:I48</xm:f>
              <xm:sqref>C49</xm:sqref>
            </x14:sparkline>
          </x14:sparklines>
        </x14:sparklineGroup>
        <x14:sparklineGroup manualMin="0.5" lineWeight="2.25" displayEmptyCellsAs="gap" minAxisType="custom" xr2:uid="{00000000-0003-0000-0300-00008E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Odpis_fundusz_podstawowy!C46:I46</xm:f>
              <xm:sqref>C47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8D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Odpis_fundusz_podstawowy!C44:I44</xm:f>
              <xm:sqref>C45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8C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Odpis_fundusz_podstawowy!C42:I42</xm:f>
              <xm:sqref>C43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8B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Odpis_fundusz_podstawowy!C40:I40</xm:f>
              <xm:sqref>C41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8A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Odpis_fundusz_podstawowy!C38:I38</xm:f>
              <xm:sqref>C39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89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Odpis_fundusz_podstawowy!C36:I36</xm:f>
              <xm:sqref>C37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88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Odpis_fundusz_podstawowy!C34:I34</xm:f>
              <xm:sqref>C35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87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Odpis_fundusz_podstawowy!C32:I32</xm:f>
              <xm:sqref>C33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86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Odpis_fundusz_podstawowy!C30:I30</xm:f>
              <xm:sqref>C31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85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Odpis_fundusz_podstawowy!C28:I28</xm:f>
              <xm:sqref>C29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84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Odpis_fundusz_podstawowy!C26:I26</xm:f>
              <xm:sqref>C27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83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Odpis_fundusz_podstawowy!C24:I24</xm:f>
              <xm:sqref>C25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82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Odpis_fundusz_podstawowy!C22:I22</xm:f>
              <xm:sqref>C23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81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Odpis_fundusz_podstawowy!C20:I20</xm:f>
              <xm:sqref>C21</xm:sqref>
            </x14:sparkline>
          </x14:sparklines>
        </x14:sparklineGroup>
        <x14:sparklineGroup manualMin="0.5" lineWeight="2.25" displayEmptyCellsAs="gap" minAxisType="custom" xr2:uid="{00000000-0003-0000-0300-00008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Odpis_fundusz_podstawowy!C18:I18</xm:f>
              <xm:sqref>C19</xm:sqref>
            </x14:sparkline>
          </x14:sparklines>
        </x14:sparklineGroup>
        <x14:sparklineGroup manualMin="0.5" lineWeight="2.25" displayEmptyCellsAs="gap" minAxisType="custom" xr2:uid="{00000000-0003-0000-0300-00007F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Odpis_fundusz_podstawowy!C16:I16</xm:f>
              <xm:sqref>C17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7E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Odpis_fundusz_podstawowy!C14:I14</xm:f>
              <xm:sqref>C15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7D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Odpis_fundusz_podstawowy!C12:I12</xm:f>
              <xm:sqref>C13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7C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Odpis_fundusz_podstawowy!C10:I10</xm:f>
              <xm:sqref>C11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7B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Odpis_fundusz_podstawowy!C8:I8</xm:f>
              <xm:sqref>C9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7A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Odpis_fundusz_podstawowy!C4:I4</xm:f>
              <xm:sqref>C5</xm:sqref>
            </x14:sparkline>
          </x14:sparklines>
        </x14:sparklineGroup>
        <x14:sparklineGroup manualMax="1" manualMin="0.5" lineWeight="2.25" displayEmptyCellsAs="gap" minAxisType="custom" maxAxisType="custom" xr2:uid="{00000000-0003-0000-0300-000079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Odpis_fundusz_podstawowy!C6:I6</xm:f>
              <xm:sqref>C7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I239"/>
  <sheetViews>
    <sheetView topLeftCell="A46" zoomScale="90" zoomScaleNormal="90" workbookViewId="0">
      <selection activeCell="D3" sqref="D3"/>
    </sheetView>
  </sheetViews>
  <sheetFormatPr defaultRowHeight="14.4" x14ac:dyDescent="0.3"/>
  <cols>
    <col min="1" max="1" width="9.109375" style="2"/>
    <col min="2" max="2" width="45.33203125" style="6" bestFit="1" customWidth="1"/>
    <col min="3" max="9" width="20.6640625" customWidth="1"/>
  </cols>
  <sheetData>
    <row r="1" spans="1:9" s="19" customFormat="1" ht="60" customHeight="1" x14ac:dyDescent="0.3">
      <c r="A1" s="89" t="s">
        <v>154</v>
      </c>
      <c r="B1" s="89"/>
      <c r="C1" s="89"/>
      <c r="D1" s="89"/>
      <c r="E1" s="89"/>
      <c r="F1" s="89"/>
      <c r="G1" s="89"/>
      <c r="H1" s="89"/>
      <c r="I1" s="89"/>
    </row>
    <row r="3" spans="1:9" ht="114" customHeight="1" x14ac:dyDescent="0.3">
      <c r="A3" s="3" t="s">
        <v>0</v>
      </c>
      <c r="B3" s="3" t="s">
        <v>1</v>
      </c>
      <c r="C3" s="7" t="s">
        <v>126</v>
      </c>
      <c r="D3" s="7" t="s">
        <v>127</v>
      </c>
      <c r="E3" s="7" t="s">
        <v>128</v>
      </c>
      <c r="F3" s="7" t="s">
        <v>131</v>
      </c>
      <c r="G3" s="7" t="s">
        <v>129</v>
      </c>
      <c r="H3" s="7" t="s">
        <v>130</v>
      </c>
      <c r="I3" s="7" t="s">
        <v>132</v>
      </c>
    </row>
    <row r="4" spans="1:9" ht="30" customHeight="1" x14ac:dyDescent="0.3">
      <c r="A4" s="71">
        <v>1</v>
      </c>
      <c r="B4" s="71" t="s">
        <v>8</v>
      </c>
      <c r="C4" s="9">
        <v>0.8</v>
      </c>
      <c r="D4" s="9">
        <v>0.8</v>
      </c>
      <c r="E4" s="9">
        <v>0.8</v>
      </c>
      <c r="F4" s="9">
        <v>0.9</v>
      </c>
      <c r="G4" s="9">
        <v>1.1000000000000001</v>
      </c>
      <c r="H4" s="9">
        <v>1.2</v>
      </c>
      <c r="I4" s="9">
        <v>1.3</v>
      </c>
    </row>
    <row r="5" spans="1:9" ht="65.099999999999994" customHeight="1" x14ac:dyDescent="0.3">
      <c r="A5" s="71"/>
      <c r="B5" s="71"/>
      <c r="C5" s="77"/>
      <c r="D5" s="78"/>
      <c r="E5" s="78"/>
      <c r="F5" s="78"/>
      <c r="G5" s="78"/>
      <c r="H5" s="78"/>
      <c r="I5" s="79"/>
    </row>
    <row r="6" spans="1:9" ht="30" customHeight="1" x14ac:dyDescent="0.3">
      <c r="A6" s="71">
        <v>2</v>
      </c>
      <c r="B6" s="71" t="s">
        <v>9</v>
      </c>
      <c r="C6" s="9">
        <v>0.8</v>
      </c>
      <c r="D6" s="9">
        <v>0.8</v>
      </c>
      <c r="E6" s="9">
        <v>0.8</v>
      </c>
      <c r="F6" s="9">
        <v>0.9</v>
      </c>
      <c r="G6" s="9">
        <v>1.1000000000000001</v>
      </c>
      <c r="H6" s="9">
        <v>1.2</v>
      </c>
      <c r="I6" s="9">
        <v>1.3</v>
      </c>
    </row>
    <row r="7" spans="1:9" ht="65.099999999999994" customHeight="1" x14ac:dyDescent="0.3">
      <c r="A7" s="71"/>
      <c r="B7" s="71"/>
      <c r="C7" s="77"/>
      <c r="D7" s="78"/>
      <c r="E7" s="78"/>
      <c r="F7" s="78"/>
      <c r="G7" s="78"/>
      <c r="H7" s="78"/>
      <c r="I7" s="79"/>
    </row>
    <row r="8" spans="1:9" ht="30" customHeight="1" x14ac:dyDescent="0.3">
      <c r="A8" s="71">
        <v>3</v>
      </c>
      <c r="B8" s="71" t="s">
        <v>10</v>
      </c>
      <c r="C8" s="9">
        <v>0.8</v>
      </c>
      <c r="D8" s="9">
        <v>0.8</v>
      </c>
      <c r="E8" s="9">
        <v>0.8</v>
      </c>
      <c r="F8" s="9">
        <v>0.9</v>
      </c>
      <c r="G8" s="9">
        <v>1.2</v>
      </c>
      <c r="H8" s="9">
        <v>1.3</v>
      </c>
      <c r="I8" s="9">
        <v>2.34</v>
      </c>
    </row>
    <row r="9" spans="1:9" ht="65.099999999999994" customHeight="1" x14ac:dyDescent="0.3">
      <c r="A9" s="71"/>
      <c r="B9" s="71"/>
      <c r="C9" s="77"/>
      <c r="D9" s="78"/>
      <c r="E9" s="78"/>
      <c r="F9" s="78"/>
      <c r="G9" s="78"/>
      <c r="H9" s="78"/>
      <c r="I9" s="79"/>
    </row>
    <row r="10" spans="1:9" ht="30" customHeight="1" x14ac:dyDescent="0.3">
      <c r="A10" s="71">
        <v>4</v>
      </c>
      <c r="B10" s="71" t="s">
        <v>11</v>
      </c>
      <c r="C10" s="9">
        <v>0.8</v>
      </c>
      <c r="D10" s="9">
        <v>0.8</v>
      </c>
      <c r="E10" s="9">
        <v>0.8</v>
      </c>
      <c r="F10" s="9">
        <v>0.9</v>
      </c>
      <c r="G10" s="9">
        <v>1</v>
      </c>
      <c r="H10" s="9">
        <v>1.1000000000000001</v>
      </c>
      <c r="I10" s="9">
        <v>1.2</v>
      </c>
    </row>
    <row r="11" spans="1:9" ht="65.099999999999994" customHeight="1" x14ac:dyDescent="0.3">
      <c r="A11" s="71"/>
      <c r="B11" s="71"/>
      <c r="C11" s="77"/>
      <c r="D11" s="78"/>
      <c r="E11" s="78"/>
      <c r="F11" s="78"/>
      <c r="G11" s="78"/>
      <c r="H11" s="78"/>
      <c r="I11" s="79"/>
    </row>
    <row r="12" spans="1:9" ht="30" customHeight="1" x14ac:dyDescent="0.3">
      <c r="A12" s="71">
        <v>5</v>
      </c>
      <c r="B12" s="71" t="s">
        <v>12</v>
      </c>
      <c r="C12" s="9">
        <v>0.8</v>
      </c>
      <c r="D12" s="9">
        <v>0.8</v>
      </c>
      <c r="E12" s="9">
        <v>0.8</v>
      </c>
      <c r="F12" s="9">
        <v>0.9</v>
      </c>
      <c r="G12" s="9">
        <v>1.1000000000000001</v>
      </c>
      <c r="H12" s="9">
        <v>1.2</v>
      </c>
      <c r="I12" s="9">
        <v>2.0499999999999998</v>
      </c>
    </row>
    <row r="13" spans="1:9" ht="65.099999999999994" customHeight="1" x14ac:dyDescent="0.3">
      <c r="A13" s="71"/>
      <c r="B13" s="71"/>
      <c r="C13" s="77"/>
      <c r="D13" s="78"/>
      <c r="E13" s="78"/>
      <c r="F13" s="78"/>
      <c r="G13" s="78"/>
      <c r="H13" s="78"/>
      <c r="I13" s="79"/>
    </row>
    <row r="14" spans="1:9" ht="30" customHeight="1" x14ac:dyDescent="0.3">
      <c r="A14" s="71">
        <v>6</v>
      </c>
      <c r="B14" s="71" t="s">
        <v>13</v>
      </c>
      <c r="C14" s="9">
        <v>0.8</v>
      </c>
      <c r="D14" s="9">
        <v>0.8</v>
      </c>
      <c r="E14" s="9">
        <v>0.8</v>
      </c>
      <c r="F14" s="9">
        <v>0.9</v>
      </c>
      <c r="G14" s="9">
        <v>1.2</v>
      </c>
      <c r="H14" s="9">
        <v>1.3</v>
      </c>
      <c r="I14" s="9">
        <v>3.05</v>
      </c>
    </row>
    <row r="15" spans="1:9" ht="65.099999999999994" customHeight="1" x14ac:dyDescent="0.3">
      <c r="A15" s="71"/>
      <c r="B15" s="71"/>
      <c r="C15" s="77"/>
      <c r="D15" s="78"/>
      <c r="E15" s="78"/>
      <c r="F15" s="78"/>
      <c r="G15" s="78"/>
      <c r="H15" s="78"/>
      <c r="I15" s="79"/>
    </row>
    <row r="16" spans="1:9" ht="30" customHeight="1" x14ac:dyDescent="0.3">
      <c r="A16" s="71">
        <v>7</v>
      </c>
      <c r="B16" s="71" t="s">
        <v>14</v>
      </c>
      <c r="C16" s="9">
        <v>0.8</v>
      </c>
      <c r="D16" s="9">
        <v>0.8</v>
      </c>
      <c r="E16" s="9">
        <v>0.8</v>
      </c>
      <c r="F16" s="9">
        <v>0.9</v>
      </c>
      <c r="G16" s="9">
        <v>1.4</v>
      </c>
      <c r="H16" s="9">
        <v>2.2200000000000002</v>
      </c>
      <c r="I16" s="9">
        <v>2.3199999999999998</v>
      </c>
    </row>
    <row r="17" spans="1:9" ht="65.099999999999994" customHeight="1" x14ac:dyDescent="0.3">
      <c r="A17" s="71"/>
      <c r="B17" s="71"/>
      <c r="C17" s="77"/>
      <c r="D17" s="78"/>
      <c r="E17" s="78"/>
      <c r="F17" s="78"/>
      <c r="G17" s="78"/>
      <c r="H17" s="78"/>
      <c r="I17" s="79"/>
    </row>
    <row r="18" spans="1:9" ht="30" customHeight="1" x14ac:dyDescent="0.3">
      <c r="A18" s="71">
        <v>8</v>
      </c>
      <c r="B18" s="71" t="s">
        <v>15</v>
      </c>
      <c r="C18" s="9">
        <v>0.8</v>
      </c>
      <c r="D18" s="9">
        <v>0.8</v>
      </c>
      <c r="E18" s="9">
        <v>0.8</v>
      </c>
      <c r="F18" s="9">
        <v>0.9</v>
      </c>
      <c r="G18" s="9">
        <v>1.3</v>
      </c>
      <c r="H18" s="9">
        <v>1.62</v>
      </c>
      <c r="I18" s="9">
        <v>1.93</v>
      </c>
    </row>
    <row r="19" spans="1:9" ht="65.099999999999994" customHeight="1" x14ac:dyDescent="0.3">
      <c r="A19" s="71"/>
      <c r="B19" s="71"/>
      <c r="C19" s="77"/>
      <c r="D19" s="78"/>
      <c r="E19" s="78"/>
      <c r="F19" s="78"/>
      <c r="G19" s="78"/>
      <c r="H19" s="78"/>
      <c r="I19" s="79"/>
    </row>
    <row r="20" spans="1:9" ht="30" customHeight="1" x14ac:dyDescent="0.3">
      <c r="A20" s="71">
        <v>9</v>
      </c>
      <c r="B20" s="71" t="s">
        <v>16</v>
      </c>
      <c r="C20" s="9">
        <v>0.8</v>
      </c>
      <c r="D20" s="9">
        <v>0.8</v>
      </c>
      <c r="E20" s="9">
        <v>0.8</v>
      </c>
      <c r="F20" s="9">
        <v>0.9</v>
      </c>
      <c r="G20" s="9">
        <v>1.1000000000000001</v>
      </c>
      <c r="H20" s="9">
        <v>1.2</v>
      </c>
      <c r="I20" s="9">
        <v>1.56</v>
      </c>
    </row>
    <row r="21" spans="1:9" ht="65.099999999999994" customHeight="1" x14ac:dyDescent="0.3">
      <c r="A21" s="71"/>
      <c r="B21" s="71"/>
      <c r="C21" s="77"/>
      <c r="D21" s="78"/>
      <c r="E21" s="78"/>
      <c r="F21" s="78"/>
      <c r="G21" s="78"/>
      <c r="H21" s="78"/>
      <c r="I21" s="79"/>
    </row>
    <row r="22" spans="1:9" ht="30" customHeight="1" x14ac:dyDescent="0.3">
      <c r="A22" s="71">
        <v>10</v>
      </c>
      <c r="B22" s="71" t="s">
        <v>17</v>
      </c>
      <c r="C22" s="9">
        <v>0.8</v>
      </c>
      <c r="D22" s="9">
        <v>0.8</v>
      </c>
      <c r="E22" s="9">
        <v>0.8</v>
      </c>
      <c r="F22" s="9">
        <v>0.9</v>
      </c>
      <c r="G22" s="9">
        <v>1.1000000000000001</v>
      </c>
      <c r="H22" s="9">
        <v>1.2</v>
      </c>
      <c r="I22" s="9">
        <v>1.3</v>
      </c>
    </row>
    <row r="23" spans="1:9" ht="65.099999999999994" customHeight="1" x14ac:dyDescent="0.3">
      <c r="A23" s="71"/>
      <c r="B23" s="71"/>
      <c r="C23" s="77"/>
      <c r="D23" s="78"/>
      <c r="E23" s="78"/>
      <c r="F23" s="78"/>
      <c r="G23" s="78"/>
      <c r="H23" s="78"/>
      <c r="I23" s="79"/>
    </row>
    <row r="24" spans="1:9" ht="30" customHeight="1" x14ac:dyDescent="0.3">
      <c r="A24" s="71">
        <v>11</v>
      </c>
      <c r="B24" s="71" t="s">
        <v>18</v>
      </c>
      <c r="C24" s="9">
        <v>0.8</v>
      </c>
      <c r="D24" s="9">
        <v>0.8</v>
      </c>
      <c r="E24" s="9">
        <v>0.8</v>
      </c>
      <c r="F24" s="9">
        <v>0.9</v>
      </c>
      <c r="G24" s="9">
        <v>1.1000000000000001</v>
      </c>
      <c r="H24" s="9">
        <v>1.2</v>
      </c>
      <c r="I24" s="9">
        <v>1.3</v>
      </c>
    </row>
    <row r="25" spans="1:9" ht="65.099999999999994" customHeight="1" x14ac:dyDescent="0.3">
      <c r="A25" s="71"/>
      <c r="B25" s="71"/>
      <c r="C25" s="77"/>
      <c r="D25" s="78"/>
      <c r="E25" s="78"/>
      <c r="F25" s="78"/>
      <c r="G25" s="78"/>
      <c r="H25" s="78"/>
      <c r="I25" s="79"/>
    </row>
    <row r="26" spans="1:9" ht="30" customHeight="1" x14ac:dyDescent="0.3">
      <c r="A26" s="71">
        <v>12</v>
      </c>
      <c r="B26" s="71" t="s">
        <v>19</v>
      </c>
      <c r="C26" s="9">
        <v>0.8</v>
      </c>
      <c r="D26" s="9">
        <v>0.8</v>
      </c>
      <c r="E26" s="9">
        <v>0.8</v>
      </c>
      <c r="F26" s="9">
        <v>0.9</v>
      </c>
      <c r="G26" s="9">
        <v>1.2</v>
      </c>
      <c r="H26" s="9">
        <v>1.3</v>
      </c>
      <c r="I26" s="9">
        <v>1.4</v>
      </c>
    </row>
    <row r="27" spans="1:9" ht="65.099999999999994" customHeight="1" x14ac:dyDescent="0.3">
      <c r="A27" s="71"/>
      <c r="B27" s="71"/>
      <c r="C27" s="77"/>
      <c r="D27" s="78"/>
      <c r="E27" s="78"/>
      <c r="F27" s="78"/>
      <c r="G27" s="78"/>
      <c r="H27" s="78"/>
      <c r="I27" s="79"/>
    </row>
    <row r="28" spans="1:9" ht="30" customHeight="1" x14ac:dyDescent="0.3">
      <c r="A28" s="71">
        <v>13</v>
      </c>
      <c r="B28" s="71" t="s">
        <v>20</v>
      </c>
      <c r="C28" s="9">
        <v>0.8</v>
      </c>
      <c r="D28" s="9">
        <v>0.8</v>
      </c>
      <c r="E28" s="9">
        <v>0.8</v>
      </c>
      <c r="F28" s="9">
        <v>0.9</v>
      </c>
      <c r="G28" s="9">
        <v>1.1000000000000001</v>
      </c>
      <c r="H28" s="9">
        <v>1.2</v>
      </c>
      <c r="I28" s="9">
        <v>1.3</v>
      </c>
    </row>
    <row r="29" spans="1:9" ht="65.099999999999994" customHeight="1" x14ac:dyDescent="0.3">
      <c r="A29" s="71"/>
      <c r="B29" s="71"/>
      <c r="C29" s="77"/>
      <c r="D29" s="78"/>
      <c r="E29" s="78"/>
      <c r="F29" s="78"/>
      <c r="G29" s="78"/>
      <c r="H29" s="78"/>
      <c r="I29" s="79"/>
    </row>
    <row r="30" spans="1:9" ht="30" customHeight="1" x14ac:dyDescent="0.3">
      <c r="A30" s="71">
        <v>14</v>
      </c>
      <c r="B30" s="71" t="s">
        <v>21</v>
      </c>
      <c r="C30" s="9">
        <v>0.8</v>
      </c>
      <c r="D30" s="9">
        <v>0.8</v>
      </c>
      <c r="E30" s="9">
        <v>0.8</v>
      </c>
      <c r="F30" s="9">
        <v>0.9</v>
      </c>
      <c r="G30" s="9">
        <v>1.1000000000000001</v>
      </c>
      <c r="H30" s="9">
        <v>1.2</v>
      </c>
      <c r="I30" s="9">
        <v>1.3</v>
      </c>
    </row>
    <row r="31" spans="1:9" ht="65.099999999999994" customHeight="1" x14ac:dyDescent="0.3">
      <c r="A31" s="71"/>
      <c r="B31" s="71"/>
      <c r="C31" s="77"/>
      <c r="D31" s="78"/>
      <c r="E31" s="78"/>
      <c r="F31" s="78"/>
      <c r="G31" s="78"/>
      <c r="H31" s="78"/>
      <c r="I31" s="79"/>
    </row>
    <row r="32" spans="1:9" ht="30" customHeight="1" x14ac:dyDescent="0.3">
      <c r="A32" s="71">
        <v>15</v>
      </c>
      <c r="B32" s="71" t="s">
        <v>22</v>
      </c>
      <c r="C32" s="9">
        <v>0.8</v>
      </c>
      <c r="D32" s="9">
        <v>0.8</v>
      </c>
      <c r="E32" s="9">
        <v>0.8</v>
      </c>
      <c r="F32" s="9">
        <v>0.9</v>
      </c>
      <c r="G32" s="9">
        <v>1.1000000000000001</v>
      </c>
      <c r="H32" s="9">
        <v>1.2</v>
      </c>
      <c r="I32" s="9">
        <v>1.3</v>
      </c>
    </row>
    <row r="33" spans="1:9" ht="65.099999999999994" customHeight="1" x14ac:dyDescent="0.3">
      <c r="A33" s="71"/>
      <c r="B33" s="71"/>
      <c r="C33" s="77"/>
      <c r="D33" s="78"/>
      <c r="E33" s="78"/>
      <c r="F33" s="78"/>
      <c r="G33" s="78"/>
      <c r="H33" s="78"/>
      <c r="I33" s="79"/>
    </row>
    <row r="34" spans="1:9" ht="30" customHeight="1" x14ac:dyDescent="0.3">
      <c r="A34" s="71">
        <v>16</v>
      </c>
      <c r="B34" s="71" t="s">
        <v>23</v>
      </c>
      <c r="C34" s="9">
        <v>0.8</v>
      </c>
      <c r="D34" s="9">
        <v>0.8</v>
      </c>
      <c r="E34" s="9">
        <v>0.8</v>
      </c>
      <c r="F34" s="9">
        <v>0.9</v>
      </c>
      <c r="G34" s="9">
        <v>1</v>
      </c>
      <c r="H34" s="9">
        <v>1.1000000000000001</v>
      </c>
      <c r="I34" s="9">
        <v>1.2</v>
      </c>
    </row>
    <row r="35" spans="1:9" ht="65.099999999999994" customHeight="1" x14ac:dyDescent="0.3">
      <c r="A35" s="71"/>
      <c r="B35" s="71"/>
      <c r="C35" s="77"/>
      <c r="D35" s="78"/>
      <c r="E35" s="78"/>
      <c r="F35" s="78"/>
      <c r="G35" s="78"/>
      <c r="H35" s="78"/>
      <c r="I35" s="79"/>
    </row>
    <row r="36" spans="1:9" ht="30" customHeight="1" x14ac:dyDescent="0.3">
      <c r="A36" s="71">
        <v>17</v>
      </c>
      <c r="B36" s="71" t="s">
        <v>24</v>
      </c>
      <c r="C36" s="9">
        <v>0.8</v>
      </c>
      <c r="D36" s="9">
        <v>0.8</v>
      </c>
      <c r="E36" s="9">
        <v>0.8</v>
      </c>
      <c r="F36" s="9">
        <v>0.9</v>
      </c>
      <c r="G36" s="9">
        <v>1.1000000000000001</v>
      </c>
      <c r="H36" s="9">
        <v>1.2</v>
      </c>
      <c r="I36" s="9">
        <v>1.3</v>
      </c>
    </row>
    <row r="37" spans="1:9" ht="65.099999999999994" customHeight="1" x14ac:dyDescent="0.3">
      <c r="A37" s="71"/>
      <c r="B37" s="71"/>
      <c r="C37" s="77"/>
      <c r="D37" s="78"/>
      <c r="E37" s="78"/>
      <c r="F37" s="78"/>
      <c r="G37" s="78"/>
      <c r="H37" s="78"/>
      <c r="I37" s="79"/>
    </row>
    <row r="38" spans="1:9" ht="30" customHeight="1" x14ac:dyDescent="0.3">
      <c r="A38" s="71">
        <v>18</v>
      </c>
      <c r="B38" s="71" t="s">
        <v>25</v>
      </c>
      <c r="C38" s="9">
        <v>0.8</v>
      </c>
      <c r="D38" s="9">
        <v>0.8</v>
      </c>
      <c r="E38" s="9">
        <v>0.8</v>
      </c>
      <c r="F38" s="9">
        <v>0.9</v>
      </c>
      <c r="G38" s="9">
        <v>1.1000000000000001</v>
      </c>
      <c r="H38" s="9">
        <v>1.2</v>
      </c>
      <c r="I38" s="9">
        <v>1.3</v>
      </c>
    </row>
    <row r="39" spans="1:9" ht="65.099999999999994" customHeight="1" x14ac:dyDescent="0.3">
      <c r="A39" s="71"/>
      <c r="B39" s="71"/>
      <c r="C39" s="77"/>
      <c r="D39" s="78"/>
      <c r="E39" s="78"/>
      <c r="F39" s="78"/>
      <c r="G39" s="78"/>
      <c r="H39" s="78"/>
      <c r="I39" s="79"/>
    </row>
    <row r="40" spans="1:9" ht="30" customHeight="1" x14ac:dyDescent="0.3">
      <c r="A40" s="71">
        <v>19</v>
      </c>
      <c r="B40" s="71" t="s">
        <v>26</v>
      </c>
      <c r="C40" s="9">
        <v>0.8</v>
      </c>
      <c r="D40" s="9">
        <v>0.8</v>
      </c>
      <c r="E40" s="9">
        <v>0.8</v>
      </c>
      <c r="F40" s="9">
        <v>0.9</v>
      </c>
      <c r="G40" s="9">
        <v>1.2</v>
      </c>
      <c r="H40" s="9">
        <v>1.3</v>
      </c>
      <c r="I40" s="9">
        <v>1.65</v>
      </c>
    </row>
    <row r="41" spans="1:9" ht="65.099999999999994" customHeight="1" x14ac:dyDescent="0.3">
      <c r="A41" s="71"/>
      <c r="B41" s="71"/>
      <c r="C41" s="77"/>
      <c r="D41" s="78"/>
      <c r="E41" s="78"/>
      <c r="F41" s="78"/>
      <c r="G41" s="78"/>
      <c r="H41" s="78"/>
      <c r="I41" s="79"/>
    </row>
    <row r="42" spans="1:9" ht="30" customHeight="1" x14ac:dyDescent="0.3">
      <c r="A42" s="71">
        <v>20</v>
      </c>
      <c r="B42" s="72" t="s">
        <v>27</v>
      </c>
      <c r="C42" s="9">
        <v>0.8</v>
      </c>
      <c r="D42" s="9">
        <v>0.8</v>
      </c>
      <c r="E42" s="9">
        <v>0.8</v>
      </c>
      <c r="F42" s="9">
        <v>0.9</v>
      </c>
      <c r="G42" s="9">
        <v>1</v>
      </c>
      <c r="H42" s="9">
        <v>1.1000000000000001</v>
      </c>
      <c r="I42" s="9">
        <v>1.2</v>
      </c>
    </row>
    <row r="43" spans="1:9" ht="65.099999999999994" customHeight="1" x14ac:dyDescent="0.3">
      <c r="A43" s="71"/>
      <c r="B43" s="72"/>
      <c r="C43" s="77"/>
      <c r="D43" s="78"/>
      <c r="E43" s="78"/>
      <c r="F43" s="78"/>
      <c r="G43" s="78"/>
      <c r="H43" s="78"/>
      <c r="I43" s="79"/>
    </row>
    <row r="44" spans="1:9" ht="30" customHeight="1" x14ac:dyDescent="0.3">
      <c r="A44" s="71">
        <v>21</v>
      </c>
      <c r="B44" s="71" t="s">
        <v>28</v>
      </c>
      <c r="C44" s="9">
        <v>0.8</v>
      </c>
      <c r="D44" s="9">
        <v>0.8</v>
      </c>
      <c r="E44" s="9">
        <v>0.8</v>
      </c>
      <c r="F44" s="9">
        <v>0.9</v>
      </c>
      <c r="G44" s="9">
        <v>1.1000000000000001</v>
      </c>
      <c r="H44" s="9">
        <v>1.42</v>
      </c>
      <c r="I44" s="9">
        <v>1.52</v>
      </c>
    </row>
    <row r="45" spans="1:9" ht="65.099999999999994" customHeight="1" x14ac:dyDescent="0.3">
      <c r="A45" s="71"/>
      <c r="B45" s="71"/>
      <c r="C45" s="77"/>
      <c r="D45" s="78"/>
      <c r="E45" s="78"/>
      <c r="F45" s="78"/>
      <c r="G45" s="78"/>
      <c r="H45" s="78"/>
      <c r="I45" s="79"/>
    </row>
    <row r="46" spans="1:9" ht="30" customHeight="1" x14ac:dyDescent="0.3">
      <c r="A46" s="71">
        <v>22</v>
      </c>
      <c r="B46" s="71" t="s">
        <v>29</v>
      </c>
      <c r="C46" s="9">
        <v>0.8</v>
      </c>
      <c r="D46" s="9">
        <v>0.8</v>
      </c>
      <c r="E46" s="9">
        <v>0.8</v>
      </c>
      <c r="F46" s="9">
        <v>0.9</v>
      </c>
      <c r="G46" s="9">
        <v>1.3</v>
      </c>
      <c r="H46" s="9">
        <v>1.4</v>
      </c>
      <c r="I46" s="9">
        <v>2.33</v>
      </c>
    </row>
    <row r="47" spans="1:9" ht="65.099999999999994" customHeight="1" x14ac:dyDescent="0.3">
      <c r="A47" s="71"/>
      <c r="B47" s="71"/>
      <c r="C47" s="77"/>
      <c r="D47" s="78"/>
      <c r="E47" s="78"/>
      <c r="F47" s="78"/>
      <c r="G47" s="78"/>
      <c r="H47" s="78"/>
      <c r="I47" s="79"/>
    </row>
    <row r="48" spans="1:9" s="2" customFormat="1" ht="30" customHeight="1" x14ac:dyDescent="0.3">
      <c r="A48" s="71">
        <v>23</v>
      </c>
      <c r="B48" s="71" t="s">
        <v>30</v>
      </c>
      <c r="C48" s="10">
        <v>0</v>
      </c>
      <c r="D48" s="10">
        <v>0</v>
      </c>
      <c r="E48" s="10">
        <v>0</v>
      </c>
      <c r="F48" s="10">
        <v>0.1</v>
      </c>
      <c r="G48" s="10">
        <v>0.3</v>
      </c>
      <c r="H48" s="10">
        <v>0.4</v>
      </c>
      <c r="I48" s="10">
        <v>0.5</v>
      </c>
    </row>
    <row r="49" spans="1:9" s="2" customFormat="1" ht="65.099999999999994" customHeight="1" x14ac:dyDescent="0.3">
      <c r="A49" s="71"/>
      <c r="B49" s="71"/>
      <c r="C49" s="77"/>
      <c r="D49" s="78"/>
      <c r="E49" s="78"/>
      <c r="F49" s="78"/>
      <c r="G49" s="78"/>
      <c r="H49" s="78"/>
      <c r="I49" s="79"/>
    </row>
    <row r="50" spans="1:9" s="2" customFormat="1" ht="30" customHeight="1" x14ac:dyDescent="0.3">
      <c r="A50" s="71">
        <v>24</v>
      </c>
      <c r="B50" s="71" t="s">
        <v>31</v>
      </c>
      <c r="C50" s="10">
        <v>0.8</v>
      </c>
      <c r="D50" s="10">
        <v>0.8</v>
      </c>
      <c r="E50" s="10">
        <v>0.8</v>
      </c>
      <c r="F50" s="10">
        <v>0.9</v>
      </c>
      <c r="G50" s="10">
        <v>1.2</v>
      </c>
      <c r="H50" s="10">
        <v>1.4</v>
      </c>
      <c r="I50" s="10">
        <v>4.17</v>
      </c>
    </row>
    <row r="51" spans="1:9" s="2" customFormat="1" ht="65.099999999999994" customHeight="1" x14ac:dyDescent="0.3">
      <c r="A51" s="71"/>
      <c r="B51" s="71"/>
      <c r="C51" s="77"/>
      <c r="D51" s="78"/>
      <c r="E51" s="78"/>
      <c r="F51" s="78"/>
      <c r="G51" s="78"/>
      <c r="H51" s="78"/>
      <c r="I51" s="79"/>
    </row>
    <row r="52" spans="1:9" s="2" customFormat="1" ht="30" customHeight="1" x14ac:dyDescent="0.3">
      <c r="A52" s="71">
        <v>25</v>
      </c>
      <c r="B52" s="71" t="s">
        <v>32</v>
      </c>
      <c r="C52" s="10">
        <v>0</v>
      </c>
      <c r="D52" s="10">
        <v>0</v>
      </c>
      <c r="E52" s="10">
        <v>0</v>
      </c>
      <c r="F52" s="10">
        <v>0.1</v>
      </c>
      <c r="G52" s="10">
        <v>0.3</v>
      </c>
      <c r="H52" s="10">
        <v>0.4</v>
      </c>
      <c r="I52" s="10">
        <v>0.77</v>
      </c>
    </row>
    <row r="53" spans="1:9" s="2" customFormat="1" ht="65.099999999999994" customHeight="1" x14ac:dyDescent="0.3">
      <c r="A53" s="71"/>
      <c r="B53" s="71"/>
      <c r="C53" s="77"/>
      <c r="D53" s="78"/>
      <c r="E53" s="78"/>
      <c r="F53" s="78"/>
      <c r="G53" s="78"/>
      <c r="H53" s="78"/>
      <c r="I53" s="79"/>
    </row>
    <row r="54" spans="1:9" ht="30" customHeight="1" x14ac:dyDescent="0.3">
      <c r="A54" s="71">
        <v>26</v>
      </c>
      <c r="B54" s="71" t="s">
        <v>33</v>
      </c>
      <c r="C54" s="9">
        <v>0.8</v>
      </c>
      <c r="D54" s="9">
        <v>0.8</v>
      </c>
      <c r="E54" s="9">
        <v>0.8</v>
      </c>
      <c r="F54" s="9">
        <v>0.9</v>
      </c>
      <c r="G54" s="9">
        <v>1.2</v>
      </c>
      <c r="H54" s="9">
        <v>1.3</v>
      </c>
      <c r="I54" s="9">
        <v>2.74</v>
      </c>
    </row>
    <row r="55" spans="1:9" ht="65.099999999999994" customHeight="1" x14ac:dyDescent="0.3">
      <c r="A55" s="71"/>
      <c r="B55" s="71"/>
      <c r="C55" s="77"/>
      <c r="D55" s="78"/>
      <c r="E55" s="78"/>
      <c r="F55" s="78"/>
      <c r="G55" s="78"/>
      <c r="H55" s="78"/>
      <c r="I55" s="79"/>
    </row>
    <row r="56" spans="1:9" ht="30" customHeight="1" x14ac:dyDescent="0.3">
      <c r="A56" s="71">
        <v>27</v>
      </c>
      <c r="B56" s="71" t="s">
        <v>34</v>
      </c>
      <c r="C56" s="9">
        <v>0.8</v>
      </c>
      <c r="D56" s="9">
        <v>0.8</v>
      </c>
      <c r="E56" s="9">
        <v>0.8</v>
      </c>
      <c r="F56" s="9">
        <v>0.9</v>
      </c>
      <c r="G56" s="9">
        <v>1.2</v>
      </c>
      <c r="H56" s="9">
        <v>1.3</v>
      </c>
      <c r="I56" s="9">
        <v>2.85</v>
      </c>
    </row>
    <row r="57" spans="1:9" ht="65.099999999999994" customHeight="1" x14ac:dyDescent="0.3">
      <c r="A57" s="71"/>
      <c r="B57" s="71"/>
      <c r="C57" s="77"/>
      <c r="D57" s="78"/>
      <c r="E57" s="78"/>
      <c r="F57" s="78"/>
      <c r="G57" s="78"/>
      <c r="H57" s="78"/>
      <c r="I57" s="79"/>
    </row>
    <row r="58" spans="1:9" ht="30" customHeight="1" x14ac:dyDescent="0.3">
      <c r="A58" s="71">
        <v>28</v>
      </c>
      <c r="B58" s="71" t="s">
        <v>35</v>
      </c>
      <c r="C58" s="9">
        <v>0.8</v>
      </c>
      <c r="D58" s="9">
        <v>0.8</v>
      </c>
      <c r="E58" s="9">
        <v>0.8</v>
      </c>
      <c r="F58" s="9">
        <v>0.9</v>
      </c>
      <c r="G58" s="9">
        <v>1</v>
      </c>
      <c r="H58" s="9">
        <v>1.1000000000000001</v>
      </c>
      <c r="I58" s="9">
        <v>1.2</v>
      </c>
    </row>
    <row r="59" spans="1:9" ht="65.099999999999994" customHeight="1" x14ac:dyDescent="0.3">
      <c r="A59" s="71"/>
      <c r="B59" s="71"/>
      <c r="C59" s="77"/>
      <c r="D59" s="78"/>
      <c r="E59" s="78"/>
      <c r="F59" s="78"/>
      <c r="G59" s="78"/>
      <c r="H59" s="78"/>
      <c r="I59" s="79"/>
    </row>
    <row r="60" spans="1:9" ht="30" customHeight="1" x14ac:dyDescent="0.3">
      <c r="A60" s="71">
        <v>29</v>
      </c>
      <c r="B60" s="71" t="s">
        <v>36</v>
      </c>
      <c r="C60" s="9">
        <v>0.8</v>
      </c>
      <c r="D60" s="9">
        <v>0.8</v>
      </c>
      <c r="E60" s="9">
        <v>0.8</v>
      </c>
      <c r="F60" s="9">
        <v>0.9</v>
      </c>
      <c r="G60" s="9">
        <v>1</v>
      </c>
      <c r="H60" s="9">
        <v>1.1000000000000001</v>
      </c>
      <c r="I60" s="9">
        <v>1.2</v>
      </c>
    </row>
    <row r="61" spans="1:9" ht="65.099999999999994" customHeight="1" x14ac:dyDescent="0.3">
      <c r="A61" s="71"/>
      <c r="B61" s="71"/>
      <c r="C61" s="77"/>
      <c r="D61" s="78"/>
      <c r="E61" s="78"/>
      <c r="F61" s="78"/>
      <c r="G61" s="78"/>
      <c r="H61" s="78"/>
      <c r="I61" s="79"/>
    </row>
    <row r="62" spans="1:9" ht="30" customHeight="1" x14ac:dyDescent="0.3">
      <c r="A62" s="71">
        <v>30</v>
      </c>
      <c r="B62" s="71" t="s">
        <v>37</v>
      </c>
      <c r="C62" s="9">
        <v>0.8</v>
      </c>
      <c r="D62" s="9">
        <v>0.8</v>
      </c>
      <c r="E62" s="9">
        <v>0.8</v>
      </c>
      <c r="F62" s="9">
        <v>0.9</v>
      </c>
      <c r="G62" s="9">
        <v>1</v>
      </c>
      <c r="H62" s="9">
        <v>1.1000000000000001</v>
      </c>
      <c r="I62" s="9">
        <v>1.2</v>
      </c>
    </row>
    <row r="63" spans="1:9" ht="65.099999999999994" customHeight="1" x14ac:dyDescent="0.3">
      <c r="A63" s="71"/>
      <c r="B63" s="71"/>
      <c r="C63" s="77"/>
      <c r="D63" s="78"/>
      <c r="E63" s="78"/>
      <c r="F63" s="78"/>
      <c r="G63" s="78"/>
      <c r="H63" s="78"/>
      <c r="I63" s="79"/>
    </row>
    <row r="64" spans="1:9" ht="30" customHeight="1" x14ac:dyDescent="0.3">
      <c r="A64" s="71">
        <v>31</v>
      </c>
      <c r="B64" s="71" t="s">
        <v>38</v>
      </c>
      <c r="C64" s="9">
        <v>0.8</v>
      </c>
      <c r="D64" s="9">
        <v>0.8</v>
      </c>
      <c r="E64" s="9">
        <v>0.8</v>
      </c>
      <c r="F64" s="9">
        <v>0.9</v>
      </c>
      <c r="G64" s="9">
        <v>1</v>
      </c>
      <c r="H64" s="9">
        <v>1.1000000000000001</v>
      </c>
      <c r="I64" s="9">
        <v>1.2</v>
      </c>
    </row>
    <row r="65" spans="1:9" ht="65.099999999999994" customHeight="1" x14ac:dyDescent="0.3">
      <c r="A65" s="71"/>
      <c r="B65" s="71"/>
      <c r="C65" s="77"/>
      <c r="D65" s="78"/>
      <c r="E65" s="78"/>
      <c r="F65" s="78"/>
      <c r="G65" s="78"/>
      <c r="H65" s="78"/>
      <c r="I65" s="79"/>
    </row>
    <row r="66" spans="1:9" ht="30" customHeight="1" x14ac:dyDescent="0.3">
      <c r="A66" s="71">
        <v>32</v>
      </c>
      <c r="B66" s="71" t="s">
        <v>39</v>
      </c>
      <c r="C66" s="9">
        <v>0.8</v>
      </c>
      <c r="D66" s="9">
        <v>0.8</v>
      </c>
      <c r="E66" s="9">
        <v>0.8</v>
      </c>
      <c r="F66" s="9">
        <v>0.9</v>
      </c>
      <c r="G66" s="9">
        <v>1.1000000000000001</v>
      </c>
      <c r="H66" s="9">
        <v>1.2</v>
      </c>
      <c r="I66" s="9">
        <v>1.3</v>
      </c>
    </row>
    <row r="67" spans="1:9" ht="65.099999999999994" customHeight="1" x14ac:dyDescent="0.3">
      <c r="A67" s="71"/>
      <c r="B67" s="71"/>
      <c r="C67" s="77"/>
      <c r="D67" s="78"/>
      <c r="E67" s="78"/>
      <c r="F67" s="78"/>
      <c r="G67" s="78"/>
      <c r="H67" s="78"/>
      <c r="I67" s="79"/>
    </row>
    <row r="68" spans="1:9" ht="30" customHeight="1" x14ac:dyDescent="0.3">
      <c r="A68" s="71">
        <v>33</v>
      </c>
      <c r="B68" s="71" t="s">
        <v>40</v>
      </c>
      <c r="C68" s="9">
        <v>0.8</v>
      </c>
      <c r="D68" s="9">
        <v>0.8</v>
      </c>
      <c r="E68" s="9">
        <v>0.8</v>
      </c>
      <c r="F68" s="9">
        <v>0.9</v>
      </c>
      <c r="G68" s="9">
        <v>1</v>
      </c>
      <c r="H68" s="9">
        <v>1.1000000000000001</v>
      </c>
      <c r="I68" s="9">
        <v>1.2</v>
      </c>
    </row>
    <row r="69" spans="1:9" ht="65.099999999999994" customHeight="1" x14ac:dyDescent="0.3">
      <c r="A69" s="71"/>
      <c r="B69" s="71"/>
      <c r="C69" s="77"/>
      <c r="D69" s="78"/>
      <c r="E69" s="78"/>
      <c r="F69" s="78"/>
      <c r="G69" s="78"/>
      <c r="H69" s="78"/>
      <c r="I69" s="79"/>
    </row>
    <row r="70" spans="1:9" ht="30" customHeight="1" x14ac:dyDescent="0.3">
      <c r="A70" s="71">
        <v>34</v>
      </c>
      <c r="B70" s="71" t="s">
        <v>41</v>
      </c>
      <c r="C70" s="9">
        <v>0.8</v>
      </c>
      <c r="D70" s="9">
        <v>0.8</v>
      </c>
      <c r="E70" s="9">
        <v>0.8</v>
      </c>
      <c r="F70" s="9">
        <v>0.9</v>
      </c>
      <c r="G70" s="9">
        <v>1.1000000000000001</v>
      </c>
      <c r="H70" s="9">
        <v>1.2</v>
      </c>
      <c r="I70" s="9">
        <v>1.3</v>
      </c>
    </row>
    <row r="71" spans="1:9" ht="65.099999999999994" customHeight="1" x14ac:dyDescent="0.3">
      <c r="A71" s="71"/>
      <c r="B71" s="71"/>
      <c r="C71" s="77"/>
      <c r="D71" s="78"/>
      <c r="E71" s="78"/>
      <c r="F71" s="78"/>
      <c r="G71" s="78"/>
      <c r="H71" s="78"/>
      <c r="I71" s="79"/>
    </row>
    <row r="72" spans="1:9" ht="30" customHeight="1" x14ac:dyDescent="0.3">
      <c r="A72" s="71">
        <v>35</v>
      </c>
      <c r="B72" s="71" t="s">
        <v>42</v>
      </c>
      <c r="C72" s="9">
        <v>0.8</v>
      </c>
      <c r="D72" s="9">
        <v>0.8</v>
      </c>
      <c r="E72" s="9">
        <v>0.8</v>
      </c>
      <c r="F72" s="9">
        <v>0.9</v>
      </c>
      <c r="G72" s="9">
        <v>1.3</v>
      </c>
      <c r="H72" s="9">
        <v>1.49</v>
      </c>
      <c r="I72" s="9">
        <v>2.5499999999999998</v>
      </c>
    </row>
    <row r="73" spans="1:9" ht="65.099999999999994" customHeight="1" x14ac:dyDescent="0.3">
      <c r="A73" s="71"/>
      <c r="B73" s="71"/>
      <c r="C73" s="77"/>
      <c r="D73" s="78"/>
      <c r="E73" s="78"/>
      <c r="F73" s="78"/>
      <c r="G73" s="78"/>
      <c r="H73" s="78"/>
      <c r="I73" s="79"/>
    </row>
    <row r="74" spans="1:9" ht="30" customHeight="1" x14ac:dyDescent="0.3">
      <c r="A74" s="71">
        <v>36</v>
      </c>
      <c r="B74" s="71" t="s">
        <v>43</v>
      </c>
      <c r="C74" s="9">
        <v>0.8</v>
      </c>
      <c r="D74" s="9">
        <v>0.8</v>
      </c>
      <c r="E74" s="9">
        <v>0.8</v>
      </c>
      <c r="F74" s="9">
        <v>0.9</v>
      </c>
      <c r="G74" s="9">
        <v>1.1000000000000001</v>
      </c>
      <c r="H74" s="9">
        <v>1.2</v>
      </c>
      <c r="I74" s="9">
        <v>1.3</v>
      </c>
    </row>
    <row r="75" spans="1:9" ht="65.099999999999994" customHeight="1" x14ac:dyDescent="0.3">
      <c r="A75" s="71"/>
      <c r="B75" s="71"/>
      <c r="C75" s="77"/>
      <c r="D75" s="78"/>
      <c r="E75" s="78"/>
      <c r="F75" s="78"/>
      <c r="G75" s="78"/>
      <c r="H75" s="78"/>
      <c r="I75" s="79"/>
    </row>
    <row r="76" spans="1:9" ht="30" customHeight="1" x14ac:dyDescent="0.3">
      <c r="A76" s="71">
        <v>37</v>
      </c>
      <c r="B76" s="71" t="s">
        <v>44</v>
      </c>
      <c r="C76" s="9">
        <v>0.8</v>
      </c>
      <c r="D76" s="9">
        <v>0.8</v>
      </c>
      <c r="E76" s="9">
        <v>0.8</v>
      </c>
      <c r="F76" s="9">
        <v>0.9</v>
      </c>
      <c r="G76" s="9">
        <v>1.1000000000000001</v>
      </c>
      <c r="H76" s="9">
        <v>1.26</v>
      </c>
      <c r="I76" s="9">
        <v>1.36</v>
      </c>
    </row>
    <row r="77" spans="1:9" ht="65.099999999999994" customHeight="1" x14ac:dyDescent="0.3">
      <c r="A77" s="71"/>
      <c r="B77" s="71"/>
      <c r="C77" s="77"/>
      <c r="D77" s="78"/>
      <c r="E77" s="78"/>
      <c r="F77" s="78"/>
      <c r="G77" s="78"/>
      <c r="H77" s="78"/>
      <c r="I77" s="79"/>
    </row>
    <row r="78" spans="1:9" ht="30" customHeight="1" x14ac:dyDescent="0.3">
      <c r="A78" s="71">
        <v>38</v>
      </c>
      <c r="B78" s="71" t="s">
        <v>45</v>
      </c>
      <c r="C78" s="9">
        <v>0.8</v>
      </c>
      <c r="D78" s="9">
        <v>0.8</v>
      </c>
      <c r="E78" s="9">
        <v>0.8</v>
      </c>
      <c r="F78" s="9">
        <v>0.9</v>
      </c>
      <c r="G78" s="9">
        <v>1</v>
      </c>
      <c r="H78" s="9">
        <v>1.1000000000000001</v>
      </c>
      <c r="I78" s="9">
        <v>1.2</v>
      </c>
    </row>
    <row r="79" spans="1:9" ht="65.099999999999994" customHeight="1" x14ac:dyDescent="0.3">
      <c r="A79" s="71"/>
      <c r="B79" s="71"/>
      <c r="C79" s="77"/>
      <c r="D79" s="78"/>
      <c r="E79" s="78"/>
      <c r="F79" s="78"/>
      <c r="G79" s="78"/>
      <c r="H79" s="78"/>
      <c r="I79" s="79"/>
    </row>
    <row r="80" spans="1:9" ht="30" customHeight="1" x14ac:dyDescent="0.3">
      <c r="A80" s="71">
        <v>39</v>
      </c>
      <c r="B80" s="71" t="s">
        <v>46</v>
      </c>
      <c r="C80" s="9">
        <v>0.8</v>
      </c>
      <c r="D80" s="9">
        <v>0.8</v>
      </c>
      <c r="E80" s="9">
        <v>0.8</v>
      </c>
      <c r="F80" s="9">
        <v>0.9</v>
      </c>
      <c r="G80" s="9">
        <v>1</v>
      </c>
      <c r="H80" s="9">
        <v>1.1000000000000001</v>
      </c>
      <c r="I80" s="9">
        <v>1.2</v>
      </c>
    </row>
    <row r="81" spans="1:9" ht="65.099999999999994" customHeight="1" x14ac:dyDescent="0.3">
      <c r="A81" s="71"/>
      <c r="B81" s="71"/>
      <c r="C81" s="77"/>
      <c r="D81" s="78"/>
      <c r="E81" s="78"/>
      <c r="F81" s="78"/>
      <c r="G81" s="78"/>
      <c r="H81" s="78"/>
      <c r="I81" s="79"/>
    </row>
    <row r="82" spans="1:9" ht="30" customHeight="1" x14ac:dyDescent="0.3">
      <c r="A82" s="71">
        <v>40</v>
      </c>
      <c r="B82" s="71" t="s">
        <v>47</v>
      </c>
      <c r="C82" s="9">
        <v>0.8</v>
      </c>
      <c r="D82" s="9">
        <v>0.8</v>
      </c>
      <c r="E82" s="9">
        <v>0.8</v>
      </c>
      <c r="F82" s="9">
        <v>0.9</v>
      </c>
      <c r="G82" s="9">
        <v>1.2</v>
      </c>
      <c r="H82" s="9">
        <v>1.3</v>
      </c>
      <c r="I82" s="9">
        <v>1.4</v>
      </c>
    </row>
    <row r="83" spans="1:9" ht="65.099999999999994" customHeight="1" x14ac:dyDescent="0.3">
      <c r="A83" s="71"/>
      <c r="B83" s="71"/>
      <c r="C83" s="77"/>
      <c r="D83" s="78"/>
      <c r="E83" s="78"/>
      <c r="F83" s="78"/>
      <c r="G83" s="78"/>
      <c r="H83" s="78"/>
      <c r="I83" s="79"/>
    </row>
    <row r="84" spans="1:9" ht="30" customHeight="1" x14ac:dyDescent="0.3">
      <c r="A84" s="71">
        <v>41</v>
      </c>
      <c r="B84" s="71" t="s">
        <v>48</v>
      </c>
      <c r="C84" s="9">
        <v>0.8</v>
      </c>
      <c r="D84" s="9">
        <v>0.8</v>
      </c>
      <c r="E84" s="9">
        <v>0.8</v>
      </c>
      <c r="F84" s="9">
        <v>0.9</v>
      </c>
      <c r="G84" s="9">
        <v>1.1000000000000001</v>
      </c>
      <c r="H84" s="9">
        <v>1.2</v>
      </c>
      <c r="I84" s="9">
        <v>1.3</v>
      </c>
    </row>
    <row r="85" spans="1:9" ht="65.099999999999994" customHeight="1" x14ac:dyDescent="0.3">
      <c r="A85" s="71"/>
      <c r="B85" s="71"/>
      <c r="C85" s="77"/>
      <c r="D85" s="78"/>
      <c r="E85" s="78"/>
      <c r="F85" s="78"/>
      <c r="G85" s="78"/>
      <c r="H85" s="78"/>
      <c r="I85" s="79"/>
    </row>
    <row r="86" spans="1:9" ht="30" customHeight="1" x14ac:dyDescent="0.3">
      <c r="A86" s="71">
        <v>42</v>
      </c>
      <c r="B86" s="71" t="s">
        <v>49</v>
      </c>
      <c r="C86" s="9">
        <v>0.8</v>
      </c>
      <c r="D86" s="9">
        <v>0.8</v>
      </c>
      <c r="E86" s="9">
        <v>0.8</v>
      </c>
      <c r="F86" s="9">
        <v>0.9</v>
      </c>
      <c r="G86" s="9">
        <v>1.2</v>
      </c>
      <c r="H86" s="9">
        <v>1.3</v>
      </c>
      <c r="I86" s="9">
        <v>1.4</v>
      </c>
    </row>
    <row r="87" spans="1:9" ht="65.099999999999994" customHeight="1" x14ac:dyDescent="0.3">
      <c r="A87" s="71"/>
      <c r="B87" s="71"/>
      <c r="C87" s="77"/>
      <c r="D87" s="78"/>
      <c r="E87" s="78"/>
      <c r="F87" s="78"/>
      <c r="G87" s="78"/>
      <c r="H87" s="78"/>
      <c r="I87" s="79"/>
    </row>
    <row r="88" spans="1:9" ht="30" customHeight="1" x14ac:dyDescent="0.3">
      <c r="A88" s="71">
        <v>43</v>
      </c>
      <c r="B88" s="71" t="s">
        <v>50</v>
      </c>
      <c r="C88" s="9">
        <v>0.8</v>
      </c>
      <c r="D88" s="9">
        <v>0.8</v>
      </c>
      <c r="E88" s="9">
        <v>0.8</v>
      </c>
      <c r="F88" s="9">
        <v>0.9</v>
      </c>
      <c r="G88" s="9">
        <v>1.1000000000000001</v>
      </c>
      <c r="H88" s="9">
        <v>1.2</v>
      </c>
      <c r="I88" s="9">
        <v>1.3</v>
      </c>
    </row>
    <row r="89" spans="1:9" ht="65.099999999999994" customHeight="1" x14ac:dyDescent="0.3">
      <c r="A89" s="71"/>
      <c r="B89" s="71"/>
      <c r="C89" s="77"/>
      <c r="D89" s="78"/>
      <c r="E89" s="78"/>
      <c r="F89" s="78"/>
      <c r="G89" s="78"/>
      <c r="H89" s="78"/>
      <c r="I89" s="79"/>
    </row>
    <row r="90" spans="1:9" ht="30" customHeight="1" x14ac:dyDescent="0.3">
      <c r="A90" s="71">
        <v>44</v>
      </c>
      <c r="B90" s="72" t="s">
        <v>51</v>
      </c>
      <c r="C90" s="9">
        <v>0.8</v>
      </c>
      <c r="D90" s="9">
        <v>0.8</v>
      </c>
      <c r="E90" s="9">
        <v>0.8</v>
      </c>
      <c r="F90" s="9">
        <v>0.9</v>
      </c>
      <c r="G90" s="9">
        <v>1.1000000000000001</v>
      </c>
      <c r="H90" s="9">
        <v>1.2</v>
      </c>
      <c r="I90" s="9">
        <v>1.88</v>
      </c>
    </row>
    <row r="91" spans="1:9" ht="65.099999999999994" customHeight="1" x14ac:dyDescent="0.3">
      <c r="A91" s="71"/>
      <c r="B91" s="72"/>
      <c r="C91" s="77"/>
      <c r="D91" s="78"/>
      <c r="E91" s="78"/>
      <c r="F91" s="78"/>
      <c r="G91" s="78"/>
      <c r="H91" s="78"/>
      <c r="I91" s="79"/>
    </row>
    <row r="92" spans="1:9" ht="30" customHeight="1" x14ac:dyDescent="0.3">
      <c r="A92" s="71">
        <v>45</v>
      </c>
      <c r="B92" s="71" t="s">
        <v>52</v>
      </c>
      <c r="C92" s="9">
        <v>0.8</v>
      </c>
      <c r="D92" s="9">
        <v>0.8</v>
      </c>
      <c r="E92" s="9">
        <v>0.8</v>
      </c>
      <c r="F92" s="9">
        <v>0.9</v>
      </c>
      <c r="G92" s="9">
        <v>1.3</v>
      </c>
      <c r="H92" s="9">
        <v>1.75</v>
      </c>
      <c r="I92" s="9">
        <v>2.96</v>
      </c>
    </row>
    <row r="93" spans="1:9" ht="65.099999999999994" customHeight="1" x14ac:dyDescent="0.3">
      <c r="A93" s="71"/>
      <c r="B93" s="71"/>
      <c r="C93" s="77"/>
      <c r="D93" s="78"/>
      <c r="E93" s="78"/>
      <c r="F93" s="78"/>
      <c r="G93" s="78"/>
      <c r="H93" s="78"/>
      <c r="I93" s="79"/>
    </row>
    <row r="94" spans="1:9" ht="30" customHeight="1" x14ac:dyDescent="0.3">
      <c r="A94" s="71">
        <v>46</v>
      </c>
      <c r="B94" s="71" t="s">
        <v>53</v>
      </c>
      <c r="C94" s="9">
        <v>0.8</v>
      </c>
      <c r="D94" s="9">
        <v>0.8</v>
      </c>
      <c r="E94" s="9">
        <v>0.8</v>
      </c>
      <c r="F94" s="9">
        <v>0.9</v>
      </c>
      <c r="G94" s="9">
        <v>1.2</v>
      </c>
      <c r="H94" s="9">
        <v>1.3</v>
      </c>
      <c r="I94" s="9">
        <v>1.4</v>
      </c>
    </row>
    <row r="95" spans="1:9" ht="65.099999999999994" customHeight="1" x14ac:dyDescent="0.3">
      <c r="A95" s="71"/>
      <c r="B95" s="71"/>
      <c r="C95" s="77"/>
      <c r="D95" s="78"/>
      <c r="E95" s="78"/>
      <c r="F95" s="78"/>
      <c r="G95" s="78"/>
      <c r="H95" s="78"/>
      <c r="I95" s="79"/>
    </row>
    <row r="96" spans="1:9" ht="30" customHeight="1" x14ac:dyDescent="0.3">
      <c r="A96" s="71">
        <v>47</v>
      </c>
      <c r="B96" s="71" t="s">
        <v>54</v>
      </c>
      <c r="C96" s="9">
        <v>0.8</v>
      </c>
      <c r="D96" s="9">
        <v>0.8</v>
      </c>
      <c r="E96" s="9">
        <v>0.8</v>
      </c>
      <c r="F96" s="9">
        <v>0.9</v>
      </c>
      <c r="G96" s="9">
        <v>1.2</v>
      </c>
      <c r="H96" s="9">
        <v>1.3</v>
      </c>
      <c r="I96" s="9">
        <v>1.4</v>
      </c>
    </row>
    <row r="97" spans="1:9" ht="65.099999999999994" customHeight="1" x14ac:dyDescent="0.3">
      <c r="A97" s="71"/>
      <c r="B97" s="71"/>
      <c r="C97" s="77"/>
      <c r="D97" s="78"/>
      <c r="E97" s="78"/>
      <c r="F97" s="78"/>
      <c r="G97" s="78"/>
      <c r="H97" s="78"/>
      <c r="I97" s="79"/>
    </row>
    <row r="98" spans="1:9" ht="30" customHeight="1" x14ac:dyDescent="0.3">
      <c r="A98" s="71">
        <v>48</v>
      </c>
      <c r="B98" s="71" t="s">
        <v>55</v>
      </c>
      <c r="C98" s="9">
        <v>0.8</v>
      </c>
      <c r="D98" s="9">
        <v>0.8</v>
      </c>
      <c r="E98" s="9">
        <v>0.8</v>
      </c>
      <c r="F98" s="9">
        <v>0.9</v>
      </c>
      <c r="G98" s="9">
        <v>1.2</v>
      </c>
      <c r="H98" s="9">
        <v>1.3</v>
      </c>
      <c r="I98" s="9">
        <v>1.4</v>
      </c>
    </row>
    <row r="99" spans="1:9" ht="65.099999999999994" customHeight="1" x14ac:dyDescent="0.3">
      <c r="A99" s="71"/>
      <c r="B99" s="71"/>
      <c r="C99" s="77"/>
      <c r="D99" s="78"/>
      <c r="E99" s="78"/>
      <c r="F99" s="78"/>
      <c r="G99" s="78"/>
      <c r="H99" s="78"/>
      <c r="I99" s="79"/>
    </row>
    <row r="100" spans="1:9" ht="30" customHeight="1" x14ac:dyDescent="0.3">
      <c r="A100" s="71">
        <v>49</v>
      </c>
      <c r="B100" s="71" t="s">
        <v>56</v>
      </c>
      <c r="C100" s="9">
        <v>0.8</v>
      </c>
      <c r="D100" s="9">
        <v>0.8</v>
      </c>
      <c r="E100" s="9">
        <v>0.8</v>
      </c>
      <c r="F100" s="9">
        <v>0.9</v>
      </c>
      <c r="G100" s="9">
        <v>1.1000000000000001</v>
      </c>
      <c r="H100" s="9">
        <v>1.43</v>
      </c>
      <c r="I100" s="9">
        <v>1.53</v>
      </c>
    </row>
    <row r="101" spans="1:9" ht="65.099999999999994" customHeight="1" x14ac:dyDescent="0.3">
      <c r="A101" s="71"/>
      <c r="B101" s="71"/>
      <c r="C101" s="77"/>
      <c r="D101" s="78"/>
      <c r="E101" s="78"/>
      <c r="F101" s="78"/>
      <c r="G101" s="78"/>
      <c r="H101" s="78"/>
      <c r="I101" s="79"/>
    </row>
    <row r="102" spans="1:9" ht="30" customHeight="1" x14ac:dyDescent="0.3">
      <c r="A102" s="71">
        <v>50</v>
      </c>
      <c r="B102" s="71" t="s">
        <v>57</v>
      </c>
      <c r="C102" s="9">
        <v>0.8</v>
      </c>
      <c r="D102" s="9">
        <v>0.8</v>
      </c>
      <c r="E102" s="9">
        <v>0.8</v>
      </c>
      <c r="F102" s="9">
        <v>0.9</v>
      </c>
      <c r="G102" s="9">
        <v>1.1000000000000001</v>
      </c>
      <c r="H102" s="9">
        <v>1.2</v>
      </c>
      <c r="I102" s="9">
        <v>1.3</v>
      </c>
    </row>
    <row r="103" spans="1:9" ht="65.099999999999994" customHeight="1" x14ac:dyDescent="0.3">
      <c r="A103" s="71"/>
      <c r="B103" s="71"/>
      <c r="C103" s="77"/>
      <c r="D103" s="78"/>
      <c r="E103" s="78"/>
      <c r="F103" s="78"/>
      <c r="G103" s="78"/>
      <c r="H103" s="78"/>
      <c r="I103" s="79"/>
    </row>
    <row r="104" spans="1:9" ht="30" customHeight="1" x14ac:dyDescent="0.3">
      <c r="A104" s="71">
        <v>51</v>
      </c>
      <c r="B104" s="71" t="s">
        <v>58</v>
      </c>
      <c r="C104" s="9">
        <v>0.8</v>
      </c>
      <c r="D104" s="9">
        <v>0.8</v>
      </c>
      <c r="E104" s="9">
        <v>0.8</v>
      </c>
      <c r="F104" s="9">
        <v>0.9</v>
      </c>
      <c r="G104" s="9">
        <v>1.4</v>
      </c>
      <c r="H104" s="9">
        <v>2.23</v>
      </c>
      <c r="I104" s="9">
        <v>3.3</v>
      </c>
    </row>
    <row r="105" spans="1:9" ht="65.099999999999994" customHeight="1" x14ac:dyDescent="0.3">
      <c r="A105" s="71"/>
      <c r="B105" s="71"/>
      <c r="C105" s="77"/>
      <c r="D105" s="78"/>
      <c r="E105" s="78"/>
      <c r="F105" s="78"/>
      <c r="G105" s="78"/>
      <c r="H105" s="78"/>
      <c r="I105" s="79"/>
    </row>
    <row r="106" spans="1:9" ht="30" customHeight="1" x14ac:dyDescent="0.3">
      <c r="A106" s="71">
        <v>52</v>
      </c>
      <c r="B106" s="71" t="s">
        <v>59</v>
      </c>
      <c r="C106" s="9">
        <v>0.8</v>
      </c>
      <c r="D106" s="9">
        <v>0.8</v>
      </c>
      <c r="E106" s="9">
        <v>0.8</v>
      </c>
      <c r="F106" s="9">
        <v>0.9</v>
      </c>
      <c r="G106" s="9">
        <v>1.4</v>
      </c>
      <c r="H106" s="9">
        <v>2.4</v>
      </c>
      <c r="I106" s="9">
        <v>4.43</v>
      </c>
    </row>
    <row r="107" spans="1:9" ht="65.099999999999994" customHeight="1" x14ac:dyDescent="0.3">
      <c r="A107" s="71"/>
      <c r="B107" s="71"/>
      <c r="C107" s="77"/>
      <c r="D107" s="78"/>
      <c r="E107" s="78"/>
      <c r="F107" s="78"/>
      <c r="G107" s="78"/>
      <c r="H107" s="78"/>
      <c r="I107" s="79"/>
    </row>
    <row r="108" spans="1:9" ht="30" customHeight="1" x14ac:dyDescent="0.3">
      <c r="A108" s="71">
        <v>53</v>
      </c>
      <c r="B108" s="71" t="s">
        <v>60</v>
      </c>
      <c r="C108" s="9">
        <v>0.8</v>
      </c>
      <c r="D108" s="9">
        <v>0.8</v>
      </c>
      <c r="E108" s="9">
        <v>0.8</v>
      </c>
      <c r="F108" s="9">
        <v>0.9</v>
      </c>
      <c r="G108" s="9">
        <v>1.3</v>
      </c>
      <c r="H108" s="9">
        <v>1.65</v>
      </c>
      <c r="I108" s="9">
        <v>3.93</v>
      </c>
    </row>
    <row r="109" spans="1:9" ht="65.099999999999994" customHeight="1" x14ac:dyDescent="0.3">
      <c r="A109" s="71"/>
      <c r="B109" s="71"/>
      <c r="C109" s="77"/>
      <c r="D109" s="78"/>
      <c r="E109" s="78"/>
      <c r="F109" s="78"/>
      <c r="G109" s="78"/>
      <c r="H109" s="78"/>
      <c r="I109" s="79"/>
    </row>
    <row r="110" spans="1:9" ht="30" customHeight="1" x14ac:dyDescent="0.3">
      <c r="A110" s="71">
        <v>54</v>
      </c>
      <c r="B110" s="71" t="s">
        <v>61</v>
      </c>
      <c r="C110" s="9">
        <v>0.8</v>
      </c>
      <c r="D110" s="9">
        <v>0.8</v>
      </c>
      <c r="E110" s="9">
        <v>0.8</v>
      </c>
      <c r="F110" s="9">
        <v>0.9</v>
      </c>
      <c r="G110" s="9">
        <v>1.2</v>
      </c>
      <c r="H110" s="9">
        <v>1.3</v>
      </c>
      <c r="I110" s="9">
        <v>1.4</v>
      </c>
    </row>
    <row r="111" spans="1:9" ht="65.099999999999994" customHeight="1" x14ac:dyDescent="0.3">
      <c r="A111" s="71"/>
      <c r="B111" s="71"/>
      <c r="C111" s="77"/>
      <c r="D111" s="78"/>
      <c r="E111" s="78"/>
      <c r="F111" s="78"/>
      <c r="G111" s="78"/>
      <c r="H111" s="78"/>
      <c r="I111" s="79"/>
    </row>
    <row r="112" spans="1:9" ht="30" customHeight="1" x14ac:dyDescent="0.3">
      <c r="A112" s="71">
        <v>55</v>
      </c>
      <c r="B112" s="71" t="s">
        <v>62</v>
      </c>
      <c r="C112" s="9">
        <v>0.8</v>
      </c>
      <c r="D112" s="9">
        <v>0.8</v>
      </c>
      <c r="E112" s="9">
        <v>0.8</v>
      </c>
      <c r="F112" s="9">
        <v>0.9</v>
      </c>
      <c r="G112" s="9">
        <v>1.1000000000000001</v>
      </c>
      <c r="H112" s="9">
        <v>1.2</v>
      </c>
      <c r="I112" s="9">
        <v>1.3</v>
      </c>
    </row>
    <row r="113" spans="1:9" ht="65.099999999999994" customHeight="1" x14ac:dyDescent="0.3">
      <c r="A113" s="71"/>
      <c r="B113" s="71"/>
      <c r="C113" s="77"/>
      <c r="D113" s="78"/>
      <c r="E113" s="78"/>
      <c r="F113" s="78"/>
      <c r="G113" s="78"/>
      <c r="H113" s="78"/>
      <c r="I113" s="79"/>
    </row>
    <row r="114" spans="1:9" ht="30" customHeight="1" x14ac:dyDescent="0.3">
      <c r="A114" s="71">
        <v>56</v>
      </c>
      <c r="B114" s="71" t="s">
        <v>63</v>
      </c>
      <c r="C114" s="9">
        <v>0.8</v>
      </c>
      <c r="D114" s="9">
        <v>0.8</v>
      </c>
      <c r="E114" s="9">
        <v>0.8</v>
      </c>
      <c r="F114" s="9">
        <v>0.9</v>
      </c>
      <c r="G114" s="9">
        <v>1.2</v>
      </c>
      <c r="H114" s="9">
        <v>1.3</v>
      </c>
      <c r="I114" s="9">
        <v>2.3199999999999998</v>
      </c>
    </row>
    <row r="115" spans="1:9" ht="65.099999999999994" customHeight="1" x14ac:dyDescent="0.3">
      <c r="A115" s="71"/>
      <c r="B115" s="71"/>
      <c r="C115" s="77"/>
      <c r="D115" s="78"/>
      <c r="E115" s="78"/>
      <c r="F115" s="78"/>
      <c r="G115" s="78"/>
      <c r="H115" s="78"/>
      <c r="I115" s="79"/>
    </row>
    <row r="116" spans="1:9" ht="30" customHeight="1" x14ac:dyDescent="0.3">
      <c r="A116" s="71">
        <v>57</v>
      </c>
      <c r="B116" s="71" t="s">
        <v>64</v>
      </c>
      <c r="C116" s="9">
        <v>0.8</v>
      </c>
      <c r="D116" s="9">
        <v>0.8</v>
      </c>
      <c r="E116" s="9">
        <v>0.8</v>
      </c>
      <c r="F116" s="9">
        <v>0.9</v>
      </c>
      <c r="G116" s="9">
        <v>1.1000000000000001</v>
      </c>
      <c r="H116" s="9">
        <v>1.2</v>
      </c>
      <c r="I116" s="9">
        <v>1.3</v>
      </c>
    </row>
    <row r="117" spans="1:9" ht="65.099999999999994" customHeight="1" x14ac:dyDescent="0.3">
      <c r="A117" s="71"/>
      <c r="B117" s="71"/>
      <c r="C117" s="77"/>
      <c r="D117" s="78"/>
      <c r="E117" s="78"/>
      <c r="F117" s="78"/>
      <c r="G117" s="78"/>
      <c r="H117" s="78"/>
      <c r="I117" s="79"/>
    </row>
    <row r="118" spans="1:9" ht="30" customHeight="1" x14ac:dyDescent="0.3">
      <c r="A118" s="71">
        <v>58</v>
      </c>
      <c r="B118" s="71" t="s">
        <v>65</v>
      </c>
      <c r="C118" s="9">
        <v>0.8</v>
      </c>
      <c r="D118" s="9">
        <v>0.8</v>
      </c>
      <c r="E118" s="9">
        <v>0.8</v>
      </c>
      <c r="F118" s="9">
        <v>0.9</v>
      </c>
      <c r="G118" s="9">
        <v>1</v>
      </c>
      <c r="H118" s="9">
        <v>1.1000000000000001</v>
      </c>
      <c r="I118" s="9">
        <v>1.2</v>
      </c>
    </row>
    <row r="119" spans="1:9" ht="65.099999999999994" customHeight="1" x14ac:dyDescent="0.3">
      <c r="A119" s="71"/>
      <c r="B119" s="71"/>
      <c r="C119" s="77"/>
      <c r="D119" s="78"/>
      <c r="E119" s="78"/>
      <c r="F119" s="78"/>
      <c r="G119" s="78"/>
      <c r="H119" s="78"/>
      <c r="I119" s="79"/>
    </row>
    <row r="120" spans="1:9" ht="30" customHeight="1" x14ac:dyDescent="0.3">
      <c r="A120" s="71">
        <v>59</v>
      </c>
      <c r="B120" s="71" t="s">
        <v>66</v>
      </c>
      <c r="C120" s="9">
        <v>0.8</v>
      </c>
      <c r="D120" s="9">
        <v>0.8</v>
      </c>
      <c r="E120" s="9">
        <v>0.8</v>
      </c>
      <c r="F120" s="9">
        <v>0.9</v>
      </c>
      <c r="G120" s="9">
        <v>1</v>
      </c>
      <c r="H120" s="9">
        <v>1.1000000000000001</v>
      </c>
      <c r="I120" s="9">
        <v>1.2</v>
      </c>
    </row>
    <row r="121" spans="1:9" ht="65.099999999999994" customHeight="1" x14ac:dyDescent="0.3">
      <c r="A121" s="71"/>
      <c r="B121" s="71"/>
      <c r="C121" s="77"/>
      <c r="D121" s="78"/>
      <c r="E121" s="78"/>
      <c r="F121" s="78"/>
      <c r="G121" s="78"/>
      <c r="H121" s="78"/>
      <c r="I121" s="79"/>
    </row>
    <row r="122" spans="1:9" ht="30" customHeight="1" x14ac:dyDescent="0.3">
      <c r="A122" s="71">
        <v>60</v>
      </c>
      <c r="B122" s="71" t="s">
        <v>67</v>
      </c>
      <c r="C122" s="9">
        <v>0.8</v>
      </c>
      <c r="D122" s="9">
        <v>0.8</v>
      </c>
      <c r="E122" s="9">
        <v>0.8</v>
      </c>
      <c r="F122" s="9">
        <v>0.9</v>
      </c>
      <c r="G122" s="9">
        <v>1.1000000000000001</v>
      </c>
      <c r="H122" s="9">
        <v>1.2</v>
      </c>
      <c r="I122" s="9">
        <v>1.3</v>
      </c>
    </row>
    <row r="123" spans="1:9" ht="65.099999999999994" customHeight="1" x14ac:dyDescent="0.3">
      <c r="A123" s="71"/>
      <c r="B123" s="71"/>
      <c r="C123" s="77"/>
      <c r="D123" s="78"/>
      <c r="E123" s="78"/>
      <c r="F123" s="78"/>
      <c r="G123" s="78"/>
      <c r="H123" s="78"/>
      <c r="I123" s="79"/>
    </row>
    <row r="124" spans="1:9" ht="30" customHeight="1" x14ac:dyDescent="0.3">
      <c r="A124" s="71">
        <v>61</v>
      </c>
      <c r="B124" s="71" t="s">
        <v>68</v>
      </c>
      <c r="C124" s="9">
        <v>0.8</v>
      </c>
      <c r="D124" s="9">
        <v>0.8</v>
      </c>
      <c r="E124" s="9">
        <v>0.8</v>
      </c>
      <c r="F124" s="9">
        <v>0.9</v>
      </c>
      <c r="G124" s="9">
        <v>1</v>
      </c>
      <c r="H124" s="9">
        <v>1.1000000000000001</v>
      </c>
      <c r="I124" s="9">
        <v>1.2</v>
      </c>
    </row>
    <row r="125" spans="1:9" ht="65.099999999999994" customHeight="1" x14ac:dyDescent="0.3">
      <c r="A125" s="71"/>
      <c r="B125" s="71"/>
      <c r="C125" s="77"/>
      <c r="D125" s="78"/>
      <c r="E125" s="78"/>
      <c r="F125" s="78"/>
      <c r="G125" s="78"/>
      <c r="H125" s="78"/>
      <c r="I125" s="79"/>
    </row>
    <row r="126" spans="1:9" ht="30" customHeight="1" x14ac:dyDescent="0.3">
      <c r="A126" s="71">
        <v>62</v>
      </c>
      <c r="B126" s="71" t="s">
        <v>69</v>
      </c>
      <c r="C126" s="9">
        <v>0.8</v>
      </c>
      <c r="D126" s="9">
        <v>0.8</v>
      </c>
      <c r="E126" s="9">
        <v>0.8</v>
      </c>
      <c r="F126" s="9">
        <v>0.9</v>
      </c>
      <c r="G126" s="9">
        <v>1.1000000000000001</v>
      </c>
      <c r="H126" s="9">
        <v>1.2</v>
      </c>
      <c r="I126" s="9">
        <v>1.3</v>
      </c>
    </row>
    <row r="127" spans="1:9" ht="65.099999999999994" customHeight="1" x14ac:dyDescent="0.3">
      <c r="A127" s="71"/>
      <c r="B127" s="71"/>
      <c r="C127" s="77"/>
      <c r="D127" s="78"/>
      <c r="E127" s="78"/>
      <c r="F127" s="78"/>
      <c r="G127" s="78"/>
      <c r="H127" s="78"/>
      <c r="I127" s="79"/>
    </row>
    <row r="128" spans="1:9" ht="30" customHeight="1" x14ac:dyDescent="0.3">
      <c r="A128" s="71">
        <v>63</v>
      </c>
      <c r="B128" s="71" t="s">
        <v>70</v>
      </c>
      <c r="C128" s="9">
        <v>0.8</v>
      </c>
      <c r="D128" s="9">
        <v>0.8</v>
      </c>
      <c r="E128" s="9">
        <v>0.8</v>
      </c>
      <c r="F128" s="9">
        <v>0.9</v>
      </c>
      <c r="G128" s="9">
        <v>1</v>
      </c>
      <c r="H128" s="9">
        <v>1.1000000000000001</v>
      </c>
      <c r="I128" s="9">
        <v>1.2</v>
      </c>
    </row>
    <row r="129" spans="1:9" ht="65.099999999999994" customHeight="1" x14ac:dyDescent="0.3">
      <c r="A129" s="71"/>
      <c r="B129" s="71"/>
      <c r="C129" s="77"/>
      <c r="D129" s="78"/>
      <c r="E129" s="78"/>
      <c r="F129" s="78"/>
      <c r="G129" s="78"/>
      <c r="H129" s="78"/>
      <c r="I129" s="79"/>
    </row>
    <row r="130" spans="1:9" ht="30" customHeight="1" x14ac:dyDescent="0.3">
      <c r="A130" s="71">
        <v>64</v>
      </c>
      <c r="B130" s="71" t="s">
        <v>71</v>
      </c>
      <c r="C130" s="9">
        <v>0.8</v>
      </c>
      <c r="D130" s="9">
        <v>0.8</v>
      </c>
      <c r="E130" s="9">
        <v>0.8</v>
      </c>
      <c r="F130" s="9">
        <v>0.9</v>
      </c>
      <c r="G130" s="9">
        <v>1</v>
      </c>
      <c r="H130" s="9">
        <v>1.1000000000000001</v>
      </c>
      <c r="I130" s="9">
        <v>1.2</v>
      </c>
    </row>
    <row r="131" spans="1:9" ht="65.099999999999994" customHeight="1" x14ac:dyDescent="0.3">
      <c r="A131" s="71"/>
      <c r="B131" s="71"/>
      <c r="C131" s="77"/>
      <c r="D131" s="78"/>
      <c r="E131" s="78"/>
      <c r="F131" s="78"/>
      <c r="G131" s="78"/>
      <c r="H131" s="78"/>
      <c r="I131" s="79"/>
    </row>
    <row r="132" spans="1:9" ht="30" customHeight="1" x14ac:dyDescent="0.3">
      <c r="A132" s="71">
        <v>65</v>
      </c>
      <c r="B132" s="71" t="s">
        <v>72</v>
      </c>
      <c r="C132" s="9">
        <v>0.8</v>
      </c>
      <c r="D132" s="9">
        <v>0.8</v>
      </c>
      <c r="E132" s="9">
        <v>0.8</v>
      </c>
      <c r="F132" s="9">
        <v>0.9</v>
      </c>
      <c r="G132" s="9">
        <v>1</v>
      </c>
      <c r="H132" s="9">
        <v>1.1000000000000001</v>
      </c>
      <c r="I132" s="9">
        <v>1.2</v>
      </c>
    </row>
    <row r="133" spans="1:9" ht="65.099999999999994" customHeight="1" x14ac:dyDescent="0.3">
      <c r="A133" s="71"/>
      <c r="B133" s="71"/>
      <c r="C133" s="77"/>
      <c r="D133" s="78"/>
      <c r="E133" s="78"/>
      <c r="F133" s="78"/>
      <c r="G133" s="78"/>
      <c r="H133" s="78"/>
      <c r="I133" s="79"/>
    </row>
    <row r="134" spans="1:9" ht="30" customHeight="1" x14ac:dyDescent="0.3">
      <c r="A134" s="71">
        <v>66</v>
      </c>
      <c r="B134" s="71" t="s">
        <v>73</v>
      </c>
      <c r="C134" s="9">
        <v>0.8</v>
      </c>
      <c r="D134" s="9">
        <v>0.8</v>
      </c>
      <c r="E134" s="9">
        <v>0.8</v>
      </c>
      <c r="F134" s="9">
        <v>0.9</v>
      </c>
      <c r="G134" s="9">
        <v>1.6</v>
      </c>
      <c r="H134" s="9">
        <v>1.7</v>
      </c>
      <c r="I134" s="9">
        <v>2.8</v>
      </c>
    </row>
    <row r="135" spans="1:9" ht="65.099999999999994" customHeight="1" x14ac:dyDescent="0.3">
      <c r="A135" s="71"/>
      <c r="B135" s="71"/>
      <c r="C135" s="77"/>
      <c r="D135" s="78"/>
      <c r="E135" s="78"/>
      <c r="F135" s="78"/>
      <c r="G135" s="78"/>
      <c r="H135" s="78"/>
      <c r="I135" s="79"/>
    </row>
    <row r="136" spans="1:9" ht="30" customHeight="1" x14ac:dyDescent="0.3">
      <c r="A136" s="71">
        <v>67</v>
      </c>
      <c r="B136" s="71" t="s">
        <v>74</v>
      </c>
      <c r="C136" s="9">
        <v>0.8</v>
      </c>
      <c r="D136" s="9">
        <v>0.8</v>
      </c>
      <c r="E136" s="9">
        <v>0.8</v>
      </c>
      <c r="F136" s="9">
        <v>0.9</v>
      </c>
      <c r="G136" s="9">
        <v>1.3</v>
      </c>
      <c r="H136" s="9">
        <v>1.61</v>
      </c>
      <c r="I136" s="9">
        <v>3.02</v>
      </c>
    </row>
    <row r="137" spans="1:9" ht="65.099999999999994" customHeight="1" x14ac:dyDescent="0.3">
      <c r="A137" s="71"/>
      <c r="B137" s="71"/>
      <c r="C137" s="77"/>
      <c r="D137" s="78"/>
      <c r="E137" s="78"/>
      <c r="F137" s="78"/>
      <c r="G137" s="78"/>
      <c r="H137" s="78"/>
      <c r="I137" s="79"/>
    </row>
    <row r="138" spans="1:9" ht="30" customHeight="1" x14ac:dyDescent="0.3">
      <c r="A138" s="71">
        <v>68</v>
      </c>
      <c r="B138" s="71" t="s">
        <v>75</v>
      </c>
      <c r="C138" s="9">
        <v>0.8</v>
      </c>
      <c r="D138" s="9">
        <v>0.8</v>
      </c>
      <c r="E138" s="9">
        <v>0.8</v>
      </c>
      <c r="F138" s="9">
        <v>0.9</v>
      </c>
      <c r="G138" s="9">
        <v>1.3</v>
      </c>
      <c r="H138" s="9">
        <v>1.47</v>
      </c>
      <c r="I138" s="9">
        <v>1.57</v>
      </c>
    </row>
    <row r="139" spans="1:9" ht="65.099999999999994" customHeight="1" x14ac:dyDescent="0.3">
      <c r="A139" s="71"/>
      <c r="B139" s="71"/>
      <c r="C139" s="77"/>
      <c r="D139" s="78"/>
      <c r="E139" s="78"/>
      <c r="F139" s="78"/>
      <c r="G139" s="78"/>
      <c r="H139" s="78"/>
      <c r="I139" s="79"/>
    </row>
    <row r="140" spans="1:9" ht="30" customHeight="1" x14ac:dyDescent="0.3">
      <c r="A140" s="71">
        <v>69</v>
      </c>
      <c r="B140" s="71" t="s">
        <v>76</v>
      </c>
      <c r="C140" s="9">
        <v>0.8</v>
      </c>
      <c r="D140" s="9">
        <v>0.8</v>
      </c>
      <c r="E140" s="9">
        <v>0.8</v>
      </c>
      <c r="F140" s="9">
        <v>0.9</v>
      </c>
      <c r="G140" s="9">
        <v>1.3</v>
      </c>
      <c r="H140" s="9">
        <v>1.4</v>
      </c>
      <c r="I140" s="9">
        <v>1.5</v>
      </c>
    </row>
    <row r="141" spans="1:9" ht="65.099999999999994" customHeight="1" x14ac:dyDescent="0.3">
      <c r="A141" s="71"/>
      <c r="B141" s="71"/>
      <c r="C141" s="77"/>
      <c r="D141" s="78"/>
      <c r="E141" s="78"/>
      <c r="F141" s="78"/>
      <c r="G141" s="78"/>
      <c r="H141" s="78"/>
      <c r="I141" s="79"/>
    </row>
    <row r="142" spans="1:9" ht="30" customHeight="1" x14ac:dyDescent="0.3">
      <c r="A142" s="71">
        <v>70</v>
      </c>
      <c r="B142" s="71" t="s">
        <v>77</v>
      </c>
      <c r="C142" s="9">
        <v>0.8</v>
      </c>
      <c r="D142" s="9">
        <v>0.8</v>
      </c>
      <c r="E142" s="9">
        <v>0.8</v>
      </c>
      <c r="F142" s="9">
        <v>0.9</v>
      </c>
      <c r="G142" s="9">
        <v>1.1000000000000001</v>
      </c>
      <c r="H142" s="9">
        <v>1.2</v>
      </c>
      <c r="I142" s="9">
        <v>1.3</v>
      </c>
    </row>
    <row r="143" spans="1:9" ht="65.099999999999994" customHeight="1" x14ac:dyDescent="0.3">
      <c r="A143" s="71"/>
      <c r="B143" s="71"/>
      <c r="C143" s="77"/>
      <c r="D143" s="78"/>
      <c r="E143" s="78"/>
      <c r="F143" s="78"/>
      <c r="G143" s="78"/>
      <c r="H143" s="78"/>
      <c r="I143" s="79"/>
    </row>
    <row r="144" spans="1:9" ht="30" customHeight="1" x14ac:dyDescent="0.3">
      <c r="A144" s="71">
        <v>71</v>
      </c>
      <c r="B144" s="71" t="s">
        <v>78</v>
      </c>
      <c r="C144" s="9">
        <v>0.8</v>
      </c>
      <c r="D144" s="9">
        <v>0.8</v>
      </c>
      <c r="E144" s="9">
        <v>0.8</v>
      </c>
      <c r="F144" s="9">
        <v>0.9</v>
      </c>
      <c r="G144" s="9">
        <v>1.1000000000000001</v>
      </c>
      <c r="H144" s="9">
        <v>1.2</v>
      </c>
      <c r="I144" s="9">
        <v>1.42</v>
      </c>
    </row>
    <row r="145" spans="1:9" ht="65.099999999999994" customHeight="1" x14ac:dyDescent="0.3">
      <c r="A145" s="71"/>
      <c r="B145" s="71"/>
      <c r="C145" s="77"/>
      <c r="D145" s="78"/>
      <c r="E145" s="78"/>
      <c r="F145" s="78"/>
      <c r="G145" s="78"/>
      <c r="H145" s="78"/>
      <c r="I145" s="79"/>
    </row>
    <row r="146" spans="1:9" ht="30" customHeight="1" x14ac:dyDescent="0.3">
      <c r="A146" s="71">
        <v>72</v>
      </c>
      <c r="B146" s="71" t="s">
        <v>79</v>
      </c>
      <c r="C146" s="9">
        <v>0.8</v>
      </c>
      <c r="D146" s="9">
        <v>0.8</v>
      </c>
      <c r="E146" s="9">
        <v>0.8</v>
      </c>
      <c r="F146" s="9">
        <v>0.9</v>
      </c>
      <c r="G146" s="9">
        <v>1.1000000000000001</v>
      </c>
      <c r="H146" s="9">
        <v>1.41</v>
      </c>
      <c r="I146" s="9">
        <v>1.51</v>
      </c>
    </row>
    <row r="147" spans="1:9" ht="65.099999999999994" customHeight="1" x14ac:dyDescent="0.3">
      <c r="A147" s="71"/>
      <c r="B147" s="71"/>
      <c r="C147" s="77"/>
      <c r="D147" s="78"/>
      <c r="E147" s="78"/>
      <c r="F147" s="78"/>
      <c r="G147" s="78"/>
      <c r="H147" s="78"/>
      <c r="I147" s="79"/>
    </row>
    <row r="148" spans="1:9" ht="30" customHeight="1" x14ac:dyDescent="0.3">
      <c r="A148" s="71">
        <v>73</v>
      </c>
      <c r="B148" s="71" t="s">
        <v>80</v>
      </c>
      <c r="C148" s="9">
        <v>0.8</v>
      </c>
      <c r="D148" s="9">
        <v>0.8</v>
      </c>
      <c r="E148" s="9">
        <v>0.8</v>
      </c>
      <c r="F148" s="9">
        <v>0.9</v>
      </c>
      <c r="G148" s="9">
        <v>1.1000000000000001</v>
      </c>
      <c r="H148" s="9">
        <v>1.2</v>
      </c>
      <c r="I148" s="9">
        <v>1.3</v>
      </c>
    </row>
    <row r="149" spans="1:9" ht="65.099999999999994" customHeight="1" x14ac:dyDescent="0.3">
      <c r="A149" s="71"/>
      <c r="B149" s="71"/>
      <c r="C149" s="77"/>
      <c r="D149" s="78"/>
      <c r="E149" s="78"/>
      <c r="F149" s="78"/>
      <c r="G149" s="78"/>
      <c r="H149" s="78"/>
      <c r="I149" s="79"/>
    </row>
    <row r="150" spans="1:9" ht="30" customHeight="1" x14ac:dyDescent="0.3">
      <c r="A150" s="71">
        <v>74</v>
      </c>
      <c r="B150" s="71" t="s">
        <v>81</v>
      </c>
      <c r="C150" s="9">
        <v>0.8</v>
      </c>
      <c r="D150" s="9">
        <v>0.8</v>
      </c>
      <c r="E150" s="9">
        <v>0.8</v>
      </c>
      <c r="F150" s="9">
        <v>0.9</v>
      </c>
      <c r="G150" s="9">
        <v>1.3</v>
      </c>
      <c r="H150" s="9">
        <v>1.65</v>
      </c>
      <c r="I150" s="9">
        <v>1.75</v>
      </c>
    </row>
    <row r="151" spans="1:9" ht="65.099999999999994" customHeight="1" x14ac:dyDescent="0.3">
      <c r="A151" s="71"/>
      <c r="B151" s="71"/>
      <c r="C151" s="77"/>
      <c r="D151" s="78"/>
      <c r="E151" s="78"/>
      <c r="F151" s="78"/>
      <c r="G151" s="78"/>
      <c r="H151" s="78"/>
      <c r="I151" s="79"/>
    </row>
    <row r="152" spans="1:9" ht="30" customHeight="1" x14ac:dyDescent="0.3">
      <c r="A152" s="71">
        <v>75</v>
      </c>
      <c r="B152" s="71" t="s">
        <v>82</v>
      </c>
      <c r="C152" s="9">
        <v>0.8</v>
      </c>
      <c r="D152" s="9">
        <v>0.8</v>
      </c>
      <c r="E152" s="9">
        <v>0.8</v>
      </c>
      <c r="F152" s="9">
        <v>0.9</v>
      </c>
      <c r="G152" s="9">
        <v>1.5</v>
      </c>
      <c r="H152" s="9">
        <v>1.6</v>
      </c>
      <c r="I152" s="9">
        <v>1.7</v>
      </c>
    </row>
    <row r="153" spans="1:9" ht="65.099999999999994" customHeight="1" x14ac:dyDescent="0.3">
      <c r="A153" s="71"/>
      <c r="B153" s="71"/>
      <c r="C153" s="77"/>
      <c r="D153" s="78"/>
      <c r="E153" s="78"/>
      <c r="F153" s="78"/>
      <c r="G153" s="78"/>
      <c r="H153" s="78"/>
      <c r="I153" s="79"/>
    </row>
    <row r="154" spans="1:9" ht="30" customHeight="1" x14ac:dyDescent="0.3">
      <c r="A154" s="71">
        <v>76</v>
      </c>
      <c r="B154" s="71" t="s">
        <v>83</v>
      </c>
      <c r="C154" s="9">
        <v>0.8</v>
      </c>
      <c r="D154" s="9">
        <v>0.8</v>
      </c>
      <c r="E154" s="9">
        <v>0.8</v>
      </c>
      <c r="F154" s="9">
        <v>0.9</v>
      </c>
      <c r="G154" s="9">
        <v>1</v>
      </c>
      <c r="H154" s="9">
        <v>1.1000000000000001</v>
      </c>
      <c r="I154" s="9">
        <v>1.2</v>
      </c>
    </row>
    <row r="155" spans="1:9" ht="65.099999999999994" customHeight="1" x14ac:dyDescent="0.3">
      <c r="A155" s="71"/>
      <c r="B155" s="71"/>
      <c r="C155" s="77"/>
      <c r="D155" s="78"/>
      <c r="E155" s="78"/>
      <c r="F155" s="78"/>
      <c r="G155" s="78"/>
      <c r="H155" s="78"/>
      <c r="I155" s="79"/>
    </row>
    <row r="156" spans="1:9" ht="30" customHeight="1" x14ac:dyDescent="0.3">
      <c r="A156" s="71">
        <v>77</v>
      </c>
      <c r="B156" s="71" t="s">
        <v>84</v>
      </c>
      <c r="C156" s="9">
        <v>0.8</v>
      </c>
      <c r="D156" s="9">
        <v>0.8</v>
      </c>
      <c r="E156" s="9">
        <v>0.8</v>
      </c>
      <c r="F156" s="9">
        <v>0.9</v>
      </c>
      <c r="G156" s="9">
        <v>1.5</v>
      </c>
      <c r="H156" s="9">
        <v>1.96</v>
      </c>
      <c r="I156" s="9">
        <v>3.04</v>
      </c>
    </row>
    <row r="157" spans="1:9" ht="65.099999999999994" customHeight="1" x14ac:dyDescent="0.3">
      <c r="A157" s="71"/>
      <c r="B157" s="71"/>
      <c r="C157" s="77"/>
      <c r="D157" s="78"/>
      <c r="E157" s="78"/>
      <c r="F157" s="78"/>
      <c r="G157" s="78"/>
      <c r="H157" s="78"/>
      <c r="I157" s="79"/>
    </row>
    <row r="158" spans="1:9" ht="30" customHeight="1" x14ac:dyDescent="0.3">
      <c r="A158" s="71">
        <v>78</v>
      </c>
      <c r="B158" s="71" t="s">
        <v>85</v>
      </c>
      <c r="C158" s="9">
        <v>0.8</v>
      </c>
      <c r="D158" s="9">
        <v>0.8</v>
      </c>
      <c r="E158" s="9">
        <v>0.8</v>
      </c>
      <c r="F158" s="9">
        <v>0.9</v>
      </c>
      <c r="G158" s="9">
        <v>1.5</v>
      </c>
      <c r="H158" s="9">
        <v>1.7</v>
      </c>
      <c r="I158" s="9">
        <v>3.1</v>
      </c>
    </row>
    <row r="159" spans="1:9" ht="65.099999999999994" customHeight="1" x14ac:dyDescent="0.3">
      <c r="A159" s="71"/>
      <c r="B159" s="71"/>
      <c r="C159" s="77"/>
      <c r="D159" s="78"/>
      <c r="E159" s="78"/>
      <c r="F159" s="78"/>
      <c r="G159" s="78"/>
      <c r="H159" s="78"/>
      <c r="I159" s="79"/>
    </row>
    <row r="160" spans="1:9" ht="30" customHeight="1" x14ac:dyDescent="0.3">
      <c r="A160" s="71">
        <v>79</v>
      </c>
      <c r="B160" s="71" t="s">
        <v>86</v>
      </c>
      <c r="C160" s="9">
        <v>0.8</v>
      </c>
      <c r="D160" s="9">
        <v>0.8</v>
      </c>
      <c r="E160" s="9">
        <v>0.8</v>
      </c>
      <c r="F160" s="9">
        <v>0.9</v>
      </c>
      <c r="G160" s="9">
        <v>1.5</v>
      </c>
      <c r="H160" s="9">
        <v>2.11</v>
      </c>
      <c r="I160" s="9">
        <v>2.21</v>
      </c>
    </row>
    <row r="161" spans="1:9" ht="65.099999999999994" customHeight="1" x14ac:dyDescent="0.3">
      <c r="A161" s="71"/>
      <c r="B161" s="71"/>
      <c r="C161" s="77"/>
      <c r="D161" s="78"/>
      <c r="E161" s="78"/>
      <c r="F161" s="78"/>
      <c r="G161" s="78"/>
      <c r="H161" s="78"/>
      <c r="I161" s="79"/>
    </row>
    <row r="162" spans="1:9" ht="30" customHeight="1" x14ac:dyDescent="0.3">
      <c r="A162" s="71">
        <v>80</v>
      </c>
      <c r="B162" s="71" t="s">
        <v>87</v>
      </c>
      <c r="C162" s="9">
        <v>0.8</v>
      </c>
      <c r="D162" s="9">
        <v>0.8</v>
      </c>
      <c r="E162" s="9">
        <v>0.8</v>
      </c>
      <c r="F162" s="9">
        <v>0.9</v>
      </c>
      <c r="G162" s="9">
        <v>1</v>
      </c>
      <c r="H162" s="9">
        <v>1.1000000000000001</v>
      </c>
      <c r="I162" s="9">
        <v>1.2</v>
      </c>
    </row>
    <row r="163" spans="1:9" ht="65.099999999999994" customHeight="1" x14ac:dyDescent="0.3">
      <c r="A163" s="71"/>
      <c r="B163" s="71"/>
      <c r="C163" s="77"/>
      <c r="D163" s="78"/>
      <c r="E163" s="78"/>
      <c r="F163" s="78"/>
      <c r="G163" s="78"/>
      <c r="H163" s="78"/>
      <c r="I163" s="79"/>
    </row>
    <row r="164" spans="1:9" ht="30" customHeight="1" x14ac:dyDescent="0.3">
      <c r="A164" s="71">
        <v>81</v>
      </c>
      <c r="B164" s="71" t="s">
        <v>88</v>
      </c>
      <c r="C164" s="9">
        <v>0.8</v>
      </c>
      <c r="D164" s="9">
        <v>0.8</v>
      </c>
      <c r="E164" s="9">
        <v>0.8</v>
      </c>
      <c r="F164" s="9">
        <v>0.9</v>
      </c>
      <c r="G164" s="9">
        <v>1</v>
      </c>
      <c r="H164" s="9">
        <v>1.1000000000000001</v>
      </c>
      <c r="I164" s="9">
        <v>1.2</v>
      </c>
    </row>
    <row r="165" spans="1:9" ht="65.099999999999994" customHeight="1" x14ac:dyDescent="0.3">
      <c r="A165" s="71"/>
      <c r="B165" s="71"/>
      <c r="C165" s="77"/>
      <c r="D165" s="78"/>
      <c r="E165" s="78"/>
      <c r="F165" s="78"/>
      <c r="G165" s="78"/>
      <c r="H165" s="78"/>
      <c r="I165" s="79"/>
    </row>
    <row r="166" spans="1:9" ht="30" customHeight="1" x14ac:dyDescent="0.3">
      <c r="A166" s="71">
        <v>82</v>
      </c>
      <c r="B166" s="71" t="s">
        <v>89</v>
      </c>
      <c r="C166" s="9">
        <v>0.8</v>
      </c>
      <c r="D166" s="9">
        <v>0.8</v>
      </c>
      <c r="E166" s="9">
        <v>0.8</v>
      </c>
      <c r="F166" s="9">
        <v>0.9</v>
      </c>
      <c r="G166" s="9">
        <v>1</v>
      </c>
      <c r="H166" s="9">
        <v>1.1000000000000001</v>
      </c>
      <c r="I166" s="9">
        <v>1.2</v>
      </c>
    </row>
    <row r="167" spans="1:9" ht="65.099999999999994" customHeight="1" x14ac:dyDescent="0.3">
      <c r="A167" s="71"/>
      <c r="B167" s="71"/>
      <c r="C167" s="77"/>
      <c r="D167" s="78"/>
      <c r="E167" s="78"/>
      <c r="F167" s="78"/>
      <c r="G167" s="78"/>
      <c r="H167" s="78"/>
      <c r="I167" s="79"/>
    </row>
    <row r="168" spans="1:9" ht="30" customHeight="1" x14ac:dyDescent="0.3">
      <c r="A168" s="71">
        <v>83</v>
      </c>
      <c r="B168" s="71" t="s">
        <v>90</v>
      </c>
      <c r="C168" s="9">
        <v>0.8</v>
      </c>
      <c r="D168" s="9">
        <v>0.8</v>
      </c>
      <c r="E168" s="9">
        <v>0.8</v>
      </c>
      <c r="F168" s="9">
        <v>0.9</v>
      </c>
      <c r="G168" s="9">
        <v>1</v>
      </c>
      <c r="H168" s="9">
        <v>1.1000000000000001</v>
      </c>
      <c r="I168" s="9">
        <v>1.2</v>
      </c>
    </row>
    <row r="169" spans="1:9" ht="65.099999999999994" customHeight="1" x14ac:dyDescent="0.3">
      <c r="A169" s="71"/>
      <c r="B169" s="71"/>
      <c r="C169" s="77"/>
      <c r="D169" s="78"/>
      <c r="E169" s="78"/>
      <c r="F169" s="78"/>
      <c r="G169" s="78"/>
      <c r="H169" s="78"/>
      <c r="I169" s="79"/>
    </row>
    <row r="170" spans="1:9" ht="30" customHeight="1" x14ac:dyDescent="0.3">
      <c r="A170" s="71">
        <v>84</v>
      </c>
      <c r="B170" s="71" t="s">
        <v>91</v>
      </c>
      <c r="C170" s="9">
        <v>0.8</v>
      </c>
      <c r="D170" s="9">
        <v>0.8</v>
      </c>
      <c r="E170" s="9">
        <v>0.8</v>
      </c>
      <c r="F170" s="9">
        <v>0.9</v>
      </c>
      <c r="G170" s="9">
        <v>1</v>
      </c>
      <c r="H170" s="9">
        <v>1.1000000000000001</v>
      </c>
      <c r="I170" s="9">
        <v>1.2</v>
      </c>
    </row>
    <row r="171" spans="1:9" ht="65.099999999999994" customHeight="1" x14ac:dyDescent="0.3">
      <c r="A171" s="71"/>
      <c r="B171" s="71"/>
      <c r="C171" s="77"/>
      <c r="D171" s="78"/>
      <c r="E171" s="78"/>
      <c r="F171" s="78"/>
      <c r="G171" s="78"/>
      <c r="H171" s="78"/>
      <c r="I171" s="79"/>
    </row>
    <row r="172" spans="1:9" ht="30" customHeight="1" x14ac:dyDescent="0.3">
      <c r="A172" s="71">
        <v>85</v>
      </c>
      <c r="B172" s="71" t="s">
        <v>92</v>
      </c>
      <c r="C172" s="9">
        <v>0.8</v>
      </c>
      <c r="D172" s="9">
        <v>0.8</v>
      </c>
      <c r="E172" s="9">
        <v>0.8</v>
      </c>
      <c r="F172" s="9">
        <v>0.9</v>
      </c>
      <c r="G172" s="9">
        <v>1</v>
      </c>
      <c r="H172" s="9">
        <v>1.1000000000000001</v>
      </c>
      <c r="I172" s="9">
        <v>1.2</v>
      </c>
    </row>
    <row r="173" spans="1:9" ht="65.099999999999994" customHeight="1" x14ac:dyDescent="0.3">
      <c r="A173" s="71"/>
      <c r="B173" s="71"/>
      <c r="C173" s="77"/>
      <c r="D173" s="78"/>
      <c r="E173" s="78"/>
      <c r="F173" s="78"/>
      <c r="G173" s="78"/>
      <c r="H173" s="78"/>
      <c r="I173" s="79"/>
    </row>
    <row r="174" spans="1:9" ht="30" customHeight="1" x14ac:dyDescent="0.3">
      <c r="A174" s="71">
        <v>86</v>
      </c>
      <c r="B174" s="71" t="s">
        <v>93</v>
      </c>
      <c r="C174" s="9">
        <v>0.8</v>
      </c>
      <c r="D174" s="9">
        <v>0.8</v>
      </c>
      <c r="E174" s="9">
        <v>0.8</v>
      </c>
      <c r="F174" s="9">
        <v>0.9</v>
      </c>
      <c r="G174" s="9">
        <v>1</v>
      </c>
      <c r="H174" s="9">
        <v>1.1000000000000001</v>
      </c>
      <c r="I174" s="9">
        <v>1.2</v>
      </c>
    </row>
    <row r="175" spans="1:9" ht="65.099999999999994" customHeight="1" x14ac:dyDescent="0.3">
      <c r="A175" s="71"/>
      <c r="B175" s="71"/>
      <c r="C175" s="77"/>
      <c r="D175" s="78"/>
      <c r="E175" s="78"/>
      <c r="F175" s="78"/>
      <c r="G175" s="78"/>
      <c r="H175" s="78"/>
      <c r="I175" s="79"/>
    </row>
    <row r="176" spans="1:9" ht="30" customHeight="1" x14ac:dyDescent="0.3">
      <c r="A176" s="71">
        <v>87</v>
      </c>
      <c r="B176" s="71" t="s">
        <v>94</v>
      </c>
      <c r="C176" s="9">
        <v>0.8</v>
      </c>
      <c r="D176" s="9">
        <v>0.8</v>
      </c>
      <c r="E176" s="9">
        <v>0.8</v>
      </c>
      <c r="F176" s="9">
        <v>0.9</v>
      </c>
      <c r="G176" s="9">
        <v>1</v>
      </c>
      <c r="H176" s="9">
        <v>1.1000000000000001</v>
      </c>
      <c r="I176" s="9">
        <v>1.2</v>
      </c>
    </row>
    <row r="177" spans="1:9" ht="65.099999999999994" customHeight="1" x14ac:dyDescent="0.3">
      <c r="A177" s="71"/>
      <c r="B177" s="71"/>
      <c r="C177" s="77"/>
      <c r="D177" s="78"/>
      <c r="E177" s="78"/>
      <c r="F177" s="78"/>
      <c r="G177" s="78"/>
      <c r="H177" s="78"/>
      <c r="I177" s="79"/>
    </row>
    <row r="178" spans="1:9" ht="30" customHeight="1" x14ac:dyDescent="0.3">
      <c r="A178" s="71">
        <v>88</v>
      </c>
      <c r="B178" s="71" t="s">
        <v>95</v>
      </c>
      <c r="C178" s="9">
        <v>0.8</v>
      </c>
      <c r="D178" s="9">
        <v>0.8</v>
      </c>
      <c r="E178" s="9">
        <v>0.8</v>
      </c>
      <c r="F178" s="9">
        <v>0.9</v>
      </c>
      <c r="G178" s="9">
        <v>1.2</v>
      </c>
      <c r="H178" s="9">
        <v>1.3</v>
      </c>
      <c r="I178" s="9">
        <v>1.4</v>
      </c>
    </row>
    <row r="179" spans="1:9" ht="65.099999999999994" customHeight="1" x14ac:dyDescent="0.3">
      <c r="A179" s="71"/>
      <c r="B179" s="71"/>
      <c r="C179" s="77"/>
      <c r="D179" s="78"/>
      <c r="E179" s="78"/>
      <c r="F179" s="78"/>
      <c r="G179" s="78"/>
      <c r="H179" s="78"/>
      <c r="I179" s="79"/>
    </row>
    <row r="180" spans="1:9" ht="30" customHeight="1" x14ac:dyDescent="0.3">
      <c r="A180" s="71">
        <v>89</v>
      </c>
      <c r="B180" s="71" t="s">
        <v>96</v>
      </c>
      <c r="C180" s="9">
        <v>0.8</v>
      </c>
      <c r="D180" s="9">
        <v>0.8</v>
      </c>
      <c r="E180" s="9">
        <v>0.8</v>
      </c>
      <c r="F180" s="9">
        <v>0.9</v>
      </c>
      <c r="G180" s="9">
        <v>1</v>
      </c>
      <c r="H180" s="9">
        <v>1.1000000000000001</v>
      </c>
      <c r="I180" s="9">
        <v>1.2</v>
      </c>
    </row>
    <row r="181" spans="1:9" ht="65.099999999999994" customHeight="1" x14ac:dyDescent="0.3">
      <c r="A181" s="71"/>
      <c r="B181" s="71"/>
      <c r="C181" s="77"/>
      <c r="D181" s="78"/>
      <c r="E181" s="78"/>
      <c r="F181" s="78"/>
      <c r="G181" s="78"/>
      <c r="H181" s="78"/>
      <c r="I181" s="79"/>
    </row>
    <row r="182" spans="1:9" ht="30" customHeight="1" x14ac:dyDescent="0.3">
      <c r="A182" s="71">
        <v>90</v>
      </c>
      <c r="B182" s="71" t="s">
        <v>97</v>
      </c>
      <c r="C182" s="9">
        <v>0.8</v>
      </c>
      <c r="D182" s="9">
        <v>0.8</v>
      </c>
      <c r="E182" s="9">
        <v>0.8</v>
      </c>
      <c r="F182" s="9">
        <v>0.9</v>
      </c>
      <c r="G182" s="9">
        <v>1</v>
      </c>
      <c r="H182" s="9">
        <v>1.1000000000000001</v>
      </c>
      <c r="I182" s="9">
        <v>1.2</v>
      </c>
    </row>
    <row r="183" spans="1:9" ht="65.099999999999994" customHeight="1" x14ac:dyDescent="0.3">
      <c r="A183" s="71"/>
      <c r="B183" s="71"/>
      <c r="C183" s="77"/>
      <c r="D183" s="78"/>
      <c r="E183" s="78"/>
      <c r="F183" s="78"/>
      <c r="G183" s="78"/>
      <c r="H183" s="78"/>
      <c r="I183" s="79"/>
    </row>
    <row r="184" spans="1:9" ht="30" customHeight="1" x14ac:dyDescent="0.3">
      <c r="A184" s="71">
        <v>91</v>
      </c>
      <c r="B184" s="71" t="s">
        <v>98</v>
      </c>
      <c r="C184" s="9">
        <v>0.8</v>
      </c>
      <c r="D184" s="9">
        <v>0.8</v>
      </c>
      <c r="E184" s="9">
        <v>0.8</v>
      </c>
      <c r="F184" s="9">
        <v>0.9</v>
      </c>
      <c r="G184" s="9">
        <v>1</v>
      </c>
      <c r="H184" s="9">
        <v>1.1000000000000001</v>
      </c>
      <c r="I184" s="9">
        <v>1.2</v>
      </c>
    </row>
    <row r="185" spans="1:9" ht="65.099999999999994" customHeight="1" x14ac:dyDescent="0.3">
      <c r="A185" s="71"/>
      <c r="B185" s="71"/>
      <c r="C185" s="77"/>
      <c r="D185" s="78"/>
      <c r="E185" s="78"/>
      <c r="F185" s="78"/>
      <c r="G185" s="78"/>
      <c r="H185" s="78"/>
      <c r="I185" s="79"/>
    </row>
    <row r="186" spans="1:9" ht="30" customHeight="1" x14ac:dyDescent="0.3">
      <c r="A186" s="71">
        <v>92</v>
      </c>
      <c r="B186" s="71" t="s">
        <v>99</v>
      </c>
      <c r="C186" s="9">
        <v>0.8</v>
      </c>
      <c r="D186" s="9">
        <v>0.8</v>
      </c>
      <c r="E186" s="9">
        <v>0.8</v>
      </c>
      <c r="F186" s="9">
        <v>0.9</v>
      </c>
      <c r="G186" s="9">
        <v>1</v>
      </c>
      <c r="H186" s="9">
        <v>1.1000000000000001</v>
      </c>
      <c r="I186" s="9">
        <v>1.2</v>
      </c>
    </row>
    <row r="187" spans="1:9" ht="65.099999999999994" customHeight="1" x14ac:dyDescent="0.3">
      <c r="A187" s="71"/>
      <c r="B187" s="71"/>
      <c r="C187" s="77"/>
      <c r="D187" s="78"/>
      <c r="E187" s="78"/>
      <c r="F187" s="78"/>
      <c r="G187" s="78"/>
      <c r="H187" s="78"/>
      <c r="I187" s="79"/>
    </row>
    <row r="188" spans="1:9" ht="30" customHeight="1" x14ac:dyDescent="0.3">
      <c r="A188" s="71">
        <v>93</v>
      </c>
      <c r="B188" s="71" t="s">
        <v>100</v>
      </c>
      <c r="C188" s="9">
        <v>0.8</v>
      </c>
      <c r="D188" s="9">
        <v>0.8</v>
      </c>
      <c r="E188" s="9">
        <v>0.8</v>
      </c>
      <c r="F188" s="9">
        <v>0.9</v>
      </c>
      <c r="G188" s="9">
        <v>1.3</v>
      </c>
      <c r="H188" s="9">
        <v>1.4</v>
      </c>
      <c r="I188" s="9">
        <v>1.85</v>
      </c>
    </row>
    <row r="189" spans="1:9" ht="65.099999999999994" customHeight="1" x14ac:dyDescent="0.3">
      <c r="A189" s="71"/>
      <c r="B189" s="71"/>
      <c r="C189" s="77"/>
      <c r="D189" s="78"/>
      <c r="E189" s="78"/>
      <c r="F189" s="78"/>
      <c r="G189" s="78"/>
      <c r="H189" s="78"/>
      <c r="I189" s="79"/>
    </row>
    <row r="190" spans="1:9" ht="30" customHeight="1" x14ac:dyDescent="0.3">
      <c r="A190" s="71">
        <v>94</v>
      </c>
      <c r="B190" s="71" t="s">
        <v>101</v>
      </c>
      <c r="C190" s="9">
        <v>0.8</v>
      </c>
      <c r="D190" s="9">
        <v>0.8</v>
      </c>
      <c r="E190" s="9">
        <v>0.8</v>
      </c>
      <c r="F190" s="9">
        <v>0.9</v>
      </c>
      <c r="G190" s="9">
        <v>1.1000000000000001</v>
      </c>
      <c r="H190" s="9">
        <v>1.2</v>
      </c>
      <c r="I190" s="9">
        <v>1.3</v>
      </c>
    </row>
    <row r="191" spans="1:9" ht="65.099999999999994" customHeight="1" x14ac:dyDescent="0.3">
      <c r="A191" s="71"/>
      <c r="B191" s="71"/>
      <c r="C191" s="77"/>
      <c r="D191" s="78"/>
      <c r="E191" s="78"/>
      <c r="F191" s="78"/>
      <c r="G191" s="78"/>
      <c r="H191" s="78"/>
      <c r="I191" s="79"/>
    </row>
    <row r="192" spans="1:9" ht="30" customHeight="1" x14ac:dyDescent="0.3">
      <c r="A192" s="71">
        <v>95</v>
      </c>
      <c r="B192" s="71" t="s">
        <v>102</v>
      </c>
      <c r="C192" s="9">
        <v>0.8</v>
      </c>
      <c r="D192" s="9">
        <v>0.8</v>
      </c>
      <c r="E192" s="9">
        <v>0.8</v>
      </c>
      <c r="F192" s="9">
        <v>0.9</v>
      </c>
      <c r="G192" s="9">
        <v>1</v>
      </c>
      <c r="H192" s="9">
        <v>1.1599999999999999</v>
      </c>
      <c r="I192" s="9">
        <v>1.26</v>
      </c>
    </row>
    <row r="193" spans="1:9" ht="65.099999999999994" customHeight="1" x14ac:dyDescent="0.3">
      <c r="A193" s="71"/>
      <c r="B193" s="71"/>
      <c r="C193" s="77"/>
      <c r="D193" s="78"/>
      <c r="E193" s="78"/>
      <c r="F193" s="78"/>
      <c r="G193" s="78"/>
      <c r="H193" s="78"/>
      <c r="I193" s="79"/>
    </row>
    <row r="194" spans="1:9" ht="30" customHeight="1" x14ac:dyDescent="0.3">
      <c r="A194" s="71">
        <v>96</v>
      </c>
      <c r="B194" s="71" t="s">
        <v>103</v>
      </c>
      <c r="C194" s="9">
        <v>0.8</v>
      </c>
      <c r="D194" s="9">
        <v>0.8</v>
      </c>
      <c r="E194" s="9">
        <v>0.8</v>
      </c>
      <c r="F194" s="9">
        <v>0.9</v>
      </c>
      <c r="G194" s="9">
        <v>1.5</v>
      </c>
      <c r="H194" s="9">
        <v>1.6</v>
      </c>
      <c r="I194" s="9">
        <v>2.46</v>
      </c>
    </row>
    <row r="195" spans="1:9" ht="65.099999999999994" customHeight="1" x14ac:dyDescent="0.3">
      <c r="A195" s="71"/>
      <c r="B195" s="71"/>
      <c r="C195" s="77"/>
      <c r="D195" s="78"/>
      <c r="E195" s="78"/>
      <c r="F195" s="78"/>
      <c r="G195" s="78"/>
      <c r="H195" s="78"/>
      <c r="I195" s="79"/>
    </row>
    <row r="196" spans="1:9" ht="30" customHeight="1" x14ac:dyDescent="0.3">
      <c r="A196" s="71">
        <v>97</v>
      </c>
      <c r="B196" s="71" t="s">
        <v>104</v>
      </c>
      <c r="C196" s="9">
        <v>0.8</v>
      </c>
      <c r="D196" s="9">
        <v>0.8</v>
      </c>
      <c r="E196" s="9">
        <v>0.8</v>
      </c>
      <c r="F196" s="9">
        <v>0.9</v>
      </c>
      <c r="G196" s="9">
        <v>1</v>
      </c>
      <c r="H196" s="9">
        <v>1.1000000000000001</v>
      </c>
      <c r="I196" s="9">
        <v>1.2</v>
      </c>
    </row>
    <row r="197" spans="1:9" ht="65.099999999999994" customHeight="1" x14ac:dyDescent="0.3">
      <c r="A197" s="71"/>
      <c r="B197" s="71"/>
      <c r="C197" s="77"/>
      <c r="D197" s="78"/>
      <c r="E197" s="78"/>
      <c r="F197" s="78"/>
      <c r="G197" s="78"/>
      <c r="H197" s="78"/>
      <c r="I197" s="79"/>
    </row>
    <row r="198" spans="1:9" ht="30" customHeight="1" x14ac:dyDescent="0.3">
      <c r="A198" s="71">
        <v>98</v>
      </c>
      <c r="B198" s="71" t="s">
        <v>105</v>
      </c>
      <c r="C198" s="9">
        <v>0.8</v>
      </c>
      <c r="D198" s="9">
        <v>0.8</v>
      </c>
      <c r="E198" s="9">
        <v>0.8</v>
      </c>
      <c r="F198" s="9">
        <v>0.9</v>
      </c>
      <c r="G198" s="9">
        <v>1.1000000000000001</v>
      </c>
      <c r="H198" s="9">
        <v>1.2</v>
      </c>
      <c r="I198" s="9">
        <v>1.3</v>
      </c>
    </row>
    <row r="199" spans="1:9" ht="65.099999999999994" customHeight="1" x14ac:dyDescent="0.3">
      <c r="A199" s="71"/>
      <c r="B199" s="71"/>
      <c r="C199" s="77"/>
      <c r="D199" s="78"/>
      <c r="E199" s="78"/>
      <c r="F199" s="78"/>
      <c r="G199" s="78"/>
      <c r="H199" s="78"/>
      <c r="I199" s="79"/>
    </row>
    <row r="200" spans="1:9" ht="30" customHeight="1" x14ac:dyDescent="0.3">
      <c r="A200" s="71">
        <v>99</v>
      </c>
      <c r="B200" s="71" t="s">
        <v>106</v>
      </c>
      <c r="C200" s="9">
        <v>0.8</v>
      </c>
      <c r="D200" s="9">
        <v>0.8</v>
      </c>
      <c r="E200" s="9">
        <v>0.8</v>
      </c>
      <c r="F200" s="9">
        <v>0.9</v>
      </c>
      <c r="G200" s="9">
        <v>1</v>
      </c>
      <c r="H200" s="9">
        <v>1.1000000000000001</v>
      </c>
      <c r="I200" s="9">
        <v>1.2</v>
      </c>
    </row>
    <row r="201" spans="1:9" ht="65.099999999999994" customHeight="1" x14ac:dyDescent="0.3">
      <c r="A201" s="71"/>
      <c r="B201" s="71"/>
      <c r="C201" s="77"/>
      <c r="D201" s="78"/>
      <c r="E201" s="78"/>
      <c r="F201" s="78"/>
      <c r="G201" s="78"/>
      <c r="H201" s="78"/>
      <c r="I201" s="79"/>
    </row>
    <row r="202" spans="1:9" ht="30" customHeight="1" x14ac:dyDescent="0.3">
      <c r="A202" s="71">
        <v>100</v>
      </c>
      <c r="B202" s="71" t="s">
        <v>107</v>
      </c>
      <c r="C202" s="9">
        <v>0.8</v>
      </c>
      <c r="D202" s="9">
        <v>0.8</v>
      </c>
      <c r="E202" s="9">
        <v>0.8</v>
      </c>
      <c r="F202" s="9">
        <v>0.9</v>
      </c>
      <c r="G202" s="9">
        <v>1</v>
      </c>
      <c r="H202" s="9">
        <v>1.1000000000000001</v>
      </c>
      <c r="I202" s="9">
        <v>1.2</v>
      </c>
    </row>
    <row r="203" spans="1:9" ht="65.099999999999994" customHeight="1" x14ac:dyDescent="0.3">
      <c r="A203" s="71"/>
      <c r="B203" s="71"/>
      <c r="C203" s="77"/>
      <c r="D203" s="78"/>
      <c r="E203" s="78"/>
      <c r="F203" s="78"/>
      <c r="G203" s="78"/>
      <c r="H203" s="78"/>
      <c r="I203" s="79"/>
    </row>
    <row r="204" spans="1:9" ht="30" customHeight="1" x14ac:dyDescent="0.3">
      <c r="A204" s="71">
        <v>101</v>
      </c>
      <c r="B204" s="71" t="s">
        <v>108</v>
      </c>
      <c r="C204" s="9">
        <v>0.8</v>
      </c>
      <c r="D204" s="9">
        <v>0.8</v>
      </c>
      <c r="E204" s="9">
        <v>0.8</v>
      </c>
      <c r="F204" s="9">
        <v>0.9</v>
      </c>
      <c r="G204" s="9">
        <v>1</v>
      </c>
      <c r="H204" s="9">
        <v>1.1000000000000001</v>
      </c>
      <c r="I204" s="9">
        <v>1.2</v>
      </c>
    </row>
    <row r="205" spans="1:9" ht="65.099999999999994" customHeight="1" x14ac:dyDescent="0.3">
      <c r="A205" s="71"/>
      <c r="B205" s="71"/>
      <c r="C205" s="77"/>
      <c r="D205" s="78"/>
      <c r="E205" s="78"/>
      <c r="F205" s="78"/>
      <c r="G205" s="78"/>
      <c r="H205" s="78"/>
      <c r="I205" s="79"/>
    </row>
    <row r="206" spans="1:9" ht="30" customHeight="1" x14ac:dyDescent="0.3">
      <c r="A206" s="71">
        <v>102</v>
      </c>
      <c r="B206" s="71" t="s">
        <v>109</v>
      </c>
      <c r="C206" s="9">
        <v>0.8</v>
      </c>
      <c r="D206" s="9">
        <v>0.8</v>
      </c>
      <c r="E206" s="9">
        <v>0.8</v>
      </c>
      <c r="F206" s="9">
        <v>0.9</v>
      </c>
      <c r="G206" s="9">
        <v>1</v>
      </c>
      <c r="H206" s="9">
        <v>1.1000000000000001</v>
      </c>
      <c r="I206" s="9">
        <v>1.2</v>
      </c>
    </row>
    <row r="207" spans="1:9" ht="65.099999999999994" customHeight="1" x14ac:dyDescent="0.3">
      <c r="A207" s="71"/>
      <c r="B207" s="71"/>
      <c r="C207" s="77"/>
      <c r="D207" s="78"/>
      <c r="E207" s="78"/>
      <c r="F207" s="78"/>
      <c r="G207" s="78"/>
      <c r="H207" s="78"/>
      <c r="I207" s="79"/>
    </row>
    <row r="208" spans="1:9" ht="30" customHeight="1" x14ac:dyDescent="0.3">
      <c r="A208" s="71">
        <v>103</v>
      </c>
      <c r="B208" s="71" t="s">
        <v>110</v>
      </c>
      <c r="C208" s="9">
        <v>0.8</v>
      </c>
      <c r="D208" s="9">
        <v>0.8</v>
      </c>
      <c r="E208" s="9">
        <v>0.8</v>
      </c>
      <c r="F208" s="9">
        <v>0.9</v>
      </c>
      <c r="G208" s="9">
        <v>1</v>
      </c>
      <c r="H208" s="9">
        <v>1.1000000000000001</v>
      </c>
      <c r="I208" s="9">
        <v>1.2</v>
      </c>
    </row>
    <row r="209" spans="1:9" ht="65.099999999999994" customHeight="1" x14ac:dyDescent="0.3">
      <c r="A209" s="71"/>
      <c r="B209" s="71"/>
      <c r="C209" s="77"/>
      <c r="D209" s="78"/>
      <c r="E209" s="78"/>
      <c r="F209" s="78"/>
      <c r="G209" s="78"/>
      <c r="H209" s="78"/>
      <c r="I209" s="79"/>
    </row>
    <row r="210" spans="1:9" ht="30" customHeight="1" x14ac:dyDescent="0.3">
      <c r="A210" s="71">
        <v>104</v>
      </c>
      <c r="B210" s="71" t="s">
        <v>111</v>
      </c>
      <c r="C210" s="9">
        <v>0.8</v>
      </c>
      <c r="D210" s="9">
        <v>0.8</v>
      </c>
      <c r="E210" s="9">
        <v>0.8</v>
      </c>
      <c r="F210" s="9">
        <v>0.9</v>
      </c>
      <c r="G210" s="9">
        <v>1</v>
      </c>
      <c r="H210" s="9">
        <v>1.1000000000000001</v>
      </c>
      <c r="I210" s="9">
        <v>1.2</v>
      </c>
    </row>
    <row r="211" spans="1:9" ht="65.099999999999994" customHeight="1" x14ac:dyDescent="0.3">
      <c r="A211" s="71"/>
      <c r="B211" s="71"/>
      <c r="C211" s="77"/>
      <c r="D211" s="78"/>
      <c r="E211" s="78"/>
      <c r="F211" s="78"/>
      <c r="G211" s="78"/>
      <c r="H211" s="78"/>
      <c r="I211" s="79"/>
    </row>
    <row r="212" spans="1:9" ht="30" customHeight="1" x14ac:dyDescent="0.3">
      <c r="A212" s="71">
        <v>105</v>
      </c>
      <c r="B212" s="71" t="s">
        <v>112</v>
      </c>
      <c r="C212" s="9">
        <v>0.8</v>
      </c>
      <c r="D212" s="9">
        <v>0.8</v>
      </c>
      <c r="E212" s="9">
        <v>0.8</v>
      </c>
      <c r="F212" s="9">
        <v>0.9</v>
      </c>
      <c r="G212" s="9">
        <v>1.2</v>
      </c>
      <c r="H212" s="9">
        <v>1.38</v>
      </c>
      <c r="I212" s="9">
        <v>1.48</v>
      </c>
    </row>
    <row r="213" spans="1:9" ht="65.099999999999994" customHeight="1" x14ac:dyDescent="0.3">
      <c r="A213" s="71"/>
      <c r="B213" s="71"/>
      <c r="C213" s="77"/>
      <c r="D213" s="78"/>
      <c r="E213" s="78"/>
      <c r="F213" s="78"/>
      <c r="G213" s="78"/>
      <c r="H213" s="78"/>
      <c r="I213" s="79"/>
    </row>
    <row r="214" spans="1:9" ht="30" customHeight="1" x14ac:dyDescent="0.3">
      <c r="A214" s="71">
        <v>106</v>
      </c>
      <c r="B214" s="71" t="s">
        <v>113</v>
      </c>
      <c r="C214" s="9">
        <v>0.8</v>
      </c>
      <c r="D214" s="9">
        <v>0.8</v>
      </c>
      <c r="E214" s="9">
        <v>0.8</v>
      </c>
      <c r="F214" s="9">
        <v>0.9</v>
      </c>
      <c r="G214" s="9">
        <v>1</v>
      </c>
      <c r="H214" s="9">
        <v>1.21</v>
      </c>
      <c r="I214" s="9">
        <v>1.31</v>
      </c>
    </row>
    <row r="215" spans="1:9" ht="65.099999999999994" customHeight="1" x14ac:dyDescent="0.3">
      <c r="A215" s="71"/>
      <c r="B215" s="71"/>
      <c r="C215" s="77"/>
      <c r="D215" s="78"/>
      <c r="E215" s="78"/>
      <c r="F215" s="78"/>
      <c r="G215" s="78"/>
      <c r="H215" s="78"/>
      <c r="I215" s="79"/>
    </row>
    <row r="216" spans="1:9" ht="30" customHeight="1" x14ac:dyDescent="0.3">
      <c r="A216" s="71">
        <v>107</v>
      </c>
      <c r="B216" s="71" t="s">
        <v>114</v>
      </c>
      <c r="C216" s="9">
        <v>0.8</v>
      </c>
      <c r="D216" s="9">
        <v>0.8</v>
      </c>
      <c r="E216" s="9">
        <v>0.8</v>
      </c>
      <c r="F216" s="9">
        <v>0.9</v>
      </c>
      <c r="G216" s="9">
        <v>1</v>
      </c>
      <c r="H216" s="9">
        <v>1.1000000000000001</v>
      </c>
      <c r="I216" s="9">
        <v>1.2</v>
      </c>
    </row>
    <row r="217" spans="1:9" ht="65.099999999999994" customHeight="1" x14ac:dyDescent="0.3">
      <c r="A217" s="71"/>
      <c r="B217" s="71"/>
      <c r="C217" s="77"/>
      <c r="D217" s="78"/>
      <c r="E217" s="78"/>
      <c r="F217" s="78"/>
      <c r="G217" s="78"/>
      <c r="H217" s="78"/>
      <c r="I217" s="79"/>
    </row>
    <row r="218" spans="1:9" ht="30" customHeight="1" x14ac:dyDescent="0.3">
      <c r="A218" s="71">
        <v>108</v>
      </c>
      <c r="B218" s="72" t="s">
        <v>115</v>
      </c>
      <c r="C218" s="9">
        <v>0.8</v>
      </c>
      <c r="D218" s="9">
        <v>0.8</v>
      </c>
      <c r="E218" s="9">
        <v>0.8</v>
      </c>
      <c r="F218" s="9">
        <v>0.9</v>
      </c>
      <c r="G218" s="9">
        <v>1.1000000000000001</v>
      </c>
      <c r="H218" s="9">
        <v>1.2</v>
      </c>
      <c r="I218" s="9">
        <v>1.3</v>
      </c>
    </row>
    <row r="219" spans="1:9" ht="65.099999999999994" customHeight="1" x14ac:dyDescent="0.3">
      <c r="A219" s="71"/>
      <c r="B219" s="72"/>
      <c r="C219" s="77"/>
      <c r="D219" s="78"/>
      <c r="E219" s="78"/>
      <c r="F219" s="78"/>
      <c r="G219" s="78"/>
      <c r="H219" s="78"/>
      <c r="I219" s="79"/>
    </row>
    <row r="220" spans="1:9" ht="30" customHeight="1" x14ac:dyDescent="0.3">
      <c r="A220" s="71">
        <v>109</v>
      </c>
      <c r="B220" s="71" t="s">
        <v>116</v>
      </c>
      <c r="C220" s="9">
        <v>0.8</v>
      </c>
      <c r="D220" s="9">
        <v>0.8</v>
      </c>
      <c r="E220" s="9">
        <v>0.8</v>
      </c>
      <c r="F220" s="9">
        <v>0.9</v>
      </c>
      <c r="G220" s="9">
        <v>1</v>
      </c>
      <c r="H220" s="9">
        <v>1.1000000000000001</v>
      </c>
      <c r="I220" s="9">
        <v>2.15</v>
      </c>
    </row>
    <row r="221" spans="1:9" ht="65.099999999999994" customHeight="1" x14ac:dyDescent="0.3">
      <c r="A221" s="71"/>
      <c r="B221" s="71"/>
      <c r="C221" s="77"/>
      <c r="D221" s="78"/>
      <c r="E221" s="78"/>
      <c r="F221" s="78"/>
      <c r="G221" s="78"/>
      <c r="H221" s="78"/>
      <c r="I221" s="79"/>
    </row>
    <row r="222" spans="1:9" ht="30" customHeight="1" x14ac:dyDescent="0.3">
      <c r="A222" s="71">
        <v>110</v>
      </c>
      <c r="B222" s="71" t="s">
        <v>117</v>
      </c>
      <c r="C222" s="9">
        <v>0.8</v>
      </c>
      <c r="D222" s="9">
        <v>0.8</v>
      </c>
      <c r="E222" s="9">
        <v>0.8</v>
      </c>
      <c r="F222" s="9">
        <v>0.9</v>
      </c>
      <c r="G222" s="9">
        <v>1</v>
      </c>
      <c r="H222" s="9">
        <v>1.1000000000000001</v>
      </c>
      <c r="I222" s="9">
        <v>1.2</v>
      </c>
    </row>
    <row r="223" spans="1:9" ht="65.099999999999994" customHeight="1" x14ac:dyDescent="0.3">
      <c r="A223" s="71"/>
      <c r="B223" s="71"/>
      <c r="C223" s="77"/>
      <c r="D223" s="78"/>
      <c r="E223" s="78"/>
      <c r="F223" s="78"/>
      <c r="G223" s="78"/>
      <c r="H223" s="78"/>
      <c r="I223" s="79"/>
    </row>
    <row r="224" spans="1:9" ht="30" customHeight="1" x14ac:dyDescent="0.3">
      <c r="A224" s="71">
        <v>111</v>
      </c>
      <c r="B224" s="71" t="s">
        <v>118</v>
      </c>
      <c r="C224" s="9">
        <v>0.8</v>
      </c>
      <c r="D224" s="9">
        <v>0.8</v>
      </c>
      <c r="E224" s="9">
        <v>0.8</v>
      </c>
      <c r="F224" s="9">
        <v>0.9</v>
      </c>
      <c r="G224" s="9">
        <v>1</v>
      </c>
      <c r="H224" s="9">
        <v>1.1000000000000001</v>
      </c>
      <c r="I224" s="9">
        <v>1.2</v>
      </c>
    </row>
    <row r="225" spans="1:9" ht="65.099999999999994" customHeight="1" x14ac:dyDescent="0.3">
      <c r="A225" s="71"/>
      <c r="B225" s="71"/>
      <c r="C225" s="77"/>
      <c r="D225" s="78"/>
      <c r="E225" s="78"/>
      <c r="F225" s="78"/>
      <c r="G225" s="78"/>
      <c r="H225" s="78"/>
      <c r="I225" s="79"/>
    </row>
    <row r="226" spans="1:9" ht="30" customHeight="1" x14ac:dyDescent="0.3">
      <c r="A226" s="71">
        <v>112</v>
      </c>
      <c r="B226" s="71" t="s">
        <v>119</v>
      </c>
      <c r="C226" s="9">
        <v>0.8</v>
      </c>
      <c r="D226" s="9">
        <v>0.8</v>
      </c>
      <c r="E226" s="9">
        <v>0.8</v>
      </c>
      <c r="F226" s="9">
        <v>0.9</v>
      </c>
      <c r="G226" s="9">
        <v>1.1000000000000001</v>
      </c>
      <c r="H226" s="9">
        <v>1.3</v>
      </c>
      <c r="I226" s="9">
        <v>1.4</v>
      </c>
    </row>
    <row r="227" spans="1:9" ht="65.099999999999994" customHeight="1" x14ac:dyDescent="0.3">
      <c r="A227" s="71"/>
      <c r="B227" s="71"/>
      <c r="C227" s="77"/>
      <c r="D227" s="78"/>
      <c r="E227" s="78"/>
      <c r="F227" s="78"/>
      <c r="G227" s="78"/>
      <c r="H227" s="78"/>
      <c r="I227" s="79"/>
    </row>
    <row r="228" spans="1:9" ht="30" customHeight="1" x14ac:dyDescent="0.3">
      <c r="A228" s="71">
        <v>113</v>
      </c>
      <c r="B228" s="71" t="s">
        <v>120</v>
      </c>
      <c r="C228" s="9">
        <v>0.8</v>
      </c>
      <c r="D228" s="9">
        <v>0.8</v>
      </c>
      <c r="E228" s="9">
        <v>0.8</v>
      </c>
      <c r="F228" s="9">
        <v>0.9</v>
      </c>
      <c r="G228" s="9">
        <v>1.1000000000000001</v>
      </c>
      <c r="H228" s="9">
        <v>1.28</v>
      </c>
      <c r="I228" s="9">
        <v>1.38</v>
      </c>
    </row>
    <row r="229" spans="1:9" ht="65.099999999999994" customHeight="1" x14ac:dyDescent="0.3">
      <c r="A229" s="71"/>
      <c r="B229" s="71"/>
      <c r="C229" s="77"/>
      <c r="D229" s="78"/>
      <c r="E229" s="78"/>
      <c r="F229" s="78"/>
      <c r="G229" s="78"/>
      <c r="H229" s="78"/>
      <c r="I229" s="79"/>
    </row>
    <row r="230" spans="1:9" ht="30" customHeight="1" x14ac:dyDescent="0.3">
      <c r="A230" s="71">
        <v>114</v>
      </c>
      <c r="B230" s="71" t="s">
        <v>121</v>
      </c>
      <c r="C230" s="9">
        <v>0.8</v>
      </c>
      <c r="D230" s="9">
        <v>0.8</v>
      </c>
      <c r="E230" s="9">
        <v>0.8</v>
      </c>
      <c r="F230" s="9">
        <v>0.9</v>
      </c>
      <c r="G230" s="9">
        <v>1.5</v>
      </c>
      <c r="H230" s="9">
        <v>1.6</v>
      </c>
      <c r="I230" s="9">
        <v>1.7</v>
      </c>
    </row>
    <row r="231" spans="1:9" ht="65.099999999999994" customHeight="1" x14ac:dyDescent="0.3">
      <c r="A231" s="71"/>
      <c r="B231" s="71"/>
      <c r="C231" s="77"/>
      <c r="D231" s="78"/>
      <c r="E231" s="78"/>
      <c r="F231" s="78"/>
      <c r="G231" s="78"/>
      <c r="H231" s="78"/>
      <c r="I231" s="79"/>
    </row>
    <row r="232" spans="1:9" ht="30" customHeight="1" x14ac:dyDescent="0.3">
      <c r="A232" s="71">
        <v>115</v>
      </c>
      <c r="B232" s="71" t="s">
        <v>122</v>
      </c>
      <c r="C232" s="9">
        <v>0.8</v>
      </c>
      <c r="D232" s="9">
        <v>0.8</v>
      </c>
      <c r="E232" s="9">
        <v>0.8</v>
      </c>
      <c r="F232" s="9">
        <v>0.9</v>
      </c>
      <c r="G232" s="9">
        <v>1.2</v>
      </c>
      <c r="H232" s="9">
        <v>1.3</v>
      </c>
      <c r="I232" s="9">
        <v>1.4</v>
      </c>
    </row>
    <row r="233" spans="1:9" ht="65.099999999999994" customHeight="1" x14ac:dyDescent="0.3">
      <c r="A233" s="71"/>
      <c r="B233" s="71"/>
      <c r="C233" s="77"/>
      <c r="D233" s="78"/>
      <c r="E233" s="78"/>
      <c r="F233" s="78"/>
      <c r="G233" s="78"/>
      <c r="H233" s="78"/>
      <c r="I233" s="79"/>
    </row>
    <row r="234" spans="1:9" ht="30" customHeight="1" x14ac:dyDescent="0.3">
      <c r="A234" s="71">
        <v>116</v>
      </c>
      <c r="B234" s="71" t="s">
        <v>123</v>
      </c>
      <c r="C234" s="9">
        <v>0.8</v>
      </c>
      <c r="D234" s="9">
        <v>0.8</v>
      </c>
      <c r="E234" s="9">
        <v>0.8</v>
      </c>
      <c r="F234" s="9">
        <v>0.9</v>
      </c>
      <c r="G234" s="9">
        <v>1.1000000000000001</v>
      </c>
      <c r="H234" s="9">
        <v>1.2</v>
      </c>
      <c r="I234" s="9">
        <v>1.3</v>
      </c>
    </row>
    <row r="235" spans="1:9" ht="65.099999999999994" customHeight="1" x14ac:dyDescent="0.3">
      <c r="A235" s="71"/>
      <c r="B235" s="71"/>
      <c r="C235" s="77"/>
      <c r="D235" s="78"/>
      <c r="E235" s="78"/>
      <c r="F235" s="78"/>
      <c r="G235" s="78"/>
      <c r="H235" s="78"/>
      <c r="I235" s="79"/>
    </row>
    <row r="236" spans="1:9" ht="30" customHeight="1" x14ac:dyDescent="0.3">
      <c r="A236" s="71">
        <v>117</v>
      </c>
      <c r="B236" s="71" t="s">
        <v>124</v>
      </c>
      <c r="C236" s="9">
        <v>0.8</v>
      </c>
      <c r="D236" s="9">
        <v>0.8</v>
      </c>
      <c r="E236" s="9">
        <v>0.8</v>
      </c>
      <c r="F236" s="9">
        <v>0.9</v>
      </c>
      <c r="G236" s="9">
        <v>1.3</v>
      </c>
      <c r="H236" s="9">
        <v>2.0499999999999998</v>
      </c>
      <c r="I236" s="9">
        <v>5.12</v>
      </c>
    </row>
    <row r="237" spans="1:9" ht="65.099999999999994" customHeight="1" x14ac:dyDescent="0.3">
      <c r="A237" s="71"/>
      <c r="B237" s="71"/>
      <c r="C237" s="77"/>
      <c r="D237" s="78"/>
      <c r="E237" s="78"/>
      <c r="F237" s="78"/>
      <c r="G237" s="78"/>
      <c r="H237" s="78"/>
      <c r="I237" s="79"/>
    </row>
    <row r="238" spans="1:9" x14ac:dyDescent="0.3">
      <c r="A238" s="2" t="s">
        <v>134</v>
      </c>
    </row>
    <row r="239" spans="1:9" x14ac:dyDescent="0.3">
      <c r="A239" s="2" t="s">
        <v>133</v>
      </c>
    </row>
  </sheetData>
  <mergeCells count="352">
    <mergeCell ref="A4:A5"/>
    <mergeCell ref="B4:B5"/>
    <mergeCell ref="A6:A7"/>
    <mergeCell ref="B6:B7"/>
    <mergeCell ref="A8:A9"/>
    <mergeCell ref="B8:B9"/>
    <mergeCell ref="A1:I1"/>
    <mergeCell ref="A16:A17"/>
    <mergeCell ref="B16:B17"/>
    <mergeCell ref="C17:I17"/>
    <mergeCell ref="A18:A19"/>
    <mergeCell ref="B18:B19"/>
    <mergeCell ref="A20:A21"/>
    <mergeCell ref="B20:B21"/>
    <mergeCell ref="A10:A11"/>
    <mergeCell ref="B10:B11"/>
    <mergeCell ref="A12:A13"/>
    <mergeCell ref="B12:B13"/>
    <mergeCell ref="A14:A15"/>
    <mergeCell ref="B14:B15"/>
    <mergeCell ref="A28:A29"/>
    <mergeCell ref="B28:B29"/>
    <mergeCell ref="A30:A31"/>
    <mergeCell ref="B30:B31"/>
    <mergeCell ref="A32:A33"/>
    <mergeCell ref="B32:B33"/>
    <mergeCell ref="A22:A23"/>
    <mergeCell ref="B22:B23"/>
    <mergeCell ref="A24:A25"/>
    <mergeCell ref="B24:B25"/>
    <mergeCell ref="A26:A27"/>
    <mergeCell ref="B26:B27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52:A53"/>
    <mergeCell ref="B52:B53"/>
    <mergeCell ref="A54:A55"/>
    <mergeCell ref="B54:B55"/>
    <mergeCell ref="A56:A57"/>
    <mergeCell ref="B56:B57"/>
    <mergeCell ref="A46:A47"/>
    <mergeCell ref="B46:B47"/>
    <mergeCell ref="A48:A49"/>
    <mergeCell ref="B48:B49"/>
    <mergeCell ref="A50:A51"/>
    <mergeCell ref="B50:B51"/>
    <mergeCell ref="A64:A65"/>
    <mergeCell ref="B64:B65"/>
    <mergeCell ref="A66:A67"/>
    <mergeCell ref="B66:B67"/>
    <mergeCell ref="A68:A69"/>
    <mergeCell ref="B68:B69"/>
    <mergeCell ref="A58:A59"/>
    <mergeCell ref="B58:B59"/>
    <mergeCell ref="A60:A61"/>
    <mergeCell ref="B60:B61"/>
    <mergeCell ref="A62:A63"/>
    <mergeCell ref="B62:B63"/>
    <mergeCell ref="A76:A77"/>
    <mergeCell ref="B76:B77"/>
    <mergeCell ref="A78:A79"/>
    <mergeCell ref="B78:B79"/>
    <mergeCell ref="A80:A81"/>
    <mergeCell ref="B80:B81"/>
    <mergeCell ref="A70:A71"/>
    <mergeCell ref="B70:B71"/>
    <mergeCell ref="A72:A73"/>
    <mergeCell ref="B72:B73"/>
    <mergeCell ref="A74:A75"/>
    <mergeCell ref="B74:B75"/>
    <mergeCell ref="A88:A89"/>
    <mergeCell ref="B88:B89"/>
    <mergeCell ref="A90:A91"/>
    <mergeCell ref="B90:B91"/>
    <mergeCell ref="A92:A93"/>
    <mergeCell ref="B92:B93"/>
    <mergeCell ref="A82:A83"/>
    <mergeCell ref="B82:B83"/>
    <mergeCell ref="A84:A85"/>
    <mergeCell ref="B84:B85"/>
    <mergeCell ref="A86:A87"/>
    <mergeCell ref="B86:B87"/>
    <mergeCell ref="A100:A101"/>
    <mergeCell ref="B100:B101"/>
    <mergeCell ref="A102:A103"/>
    <mergeCell ref="B102:B103"/>
    <mergeCell ref="A104:A105"/>
    <mergeCell ref="B104:B105"/>
    <mergeCell ref="A94:A95"/>
    <mergeCell ref="B94:B95"/>
    <mergeCell ref="A96:A97"/>
    <mergeCell ref="B96:B97"/>
    <mergeCell ref="A98:A99"/>
    <mergeCell ref="B98:B99"/>
    <mergeCell ref="A112:A113"/>
    <mergeCell ref="B112:B113"/>
    <mergeCell ref="A114:A115"/>
    <mergeCell ref="B114:B115"/>
    <mergeCell ref="A116:A117"/>
    <mergeCell ref="B116:B117"/>
    <mergeCell ref="A106:A107"/>
    <mergeCell ref="B106:B107"/>
    <mergeCell ref="A108:A109"/>
    <mergeCell ref="B108:B109"/>
    <mergeCell ref="A110:A111"/>
    <mergeCell ref="B110:B111"/>
    <mergeCell ref="A124:A125"/>
    <mergeCell ref="B124:B125"/>
    <mergeCell ref="A126:A127"/>
    <mergeCell ref="B126:B127"/>
    <mergeCell ref="A128:A129"/>
    <mergeCell ref="B128:B129"/>
    <mergeCell ref="A118:A119"/>
    <mergeCell ref="B118:B119"/>
    <mergeCell ref="A120:A121"/>
    <mergeCell ref="B120:B121"/>
    <mergeCell ref="A122:A123"/>
    <mergeCell ref="B122:B123"/>
    <mergeCell ref="A136:A137"/>
    <mergeCell ref="B136:B137"/>
    <mergeCell ref="A138:A139"/>
    <mergeCell ref="B138:B139"/>
    <mergeCell ref="A140:A141"/>
    <mergeCell ref="B140:B141"/>
    <mergeCell ref="A130:A131"/>
    <mergeCell ref="B130:B131"/>
    <mergeCell ref="A132:A133"/>
    <mergeCell ref="B132:B133"/>
    <mergeCell ref="A134:A135"/>
    <mergeCell ref="B134:B135"/>
    <mergeCell ref="A148:A149"/>
    <mergeCell ref="B148:B149"/>
    <mergeCell ref="A150:A151"/>
    <mergeCell ref="B150:B151"/>
    <mergeCell ref="A152:A153"/>
    <mergeCell ref="B152:B153"/>
    <mergeCell ref="A142:A143"/>
    <mergeCell ref="B142:B143"/>
    <mergeCell ref="A144:A145"/>
    <mergeCell ref="B144:B145"/>
    <mergeCell ref="A146:A147"/>
    <mergeCell ref="B146:B147"/>
    <mergeCell ref="A160:A161"/>
    <mergeCell ref="B160:B161"/>
    <mergeCell ref="A162:A163"/>
    <mergeCell ref="B162:B163"/>
    <mergeCell ref="A164:A165"/>
    <mergeCell ref="B164:B165"/>
    <mergeCell ref="A154:A155"/>
    <mergeCell ref="B154:B155"/>
    <mergeCell ref="A156:A157"/>
    <mergeCell ref="B156:B157"/>
    <mergeCell ref="A158:A159"/>
    <mergeCell ref="B158:B159"/>
    <mergeCell ref="A172:A173"/>
    <mergeCell ref="B172:B173"/>
    <mergeCell ref="A174:A175"/>
    <mergeCell ref="B174:B175"/>
    <mergeCell ref="A176:A177"/>
    <mergeCell ref="B176:B177"/>
    <mergeCell ref="A166:A167"/>
    <mergeCell ref="B166:B167"/>
    <mergeCell ref="A168:A169"/>
    <mergeCell ref="B168:B169"/>
    <mergeCell ref="A170:A171"/>
    <mergeCell ref="B170:B171"/>
    <mergeCell ref="A184:A185"/>
    <mergeCell ref="B184:B185"/>
    <mergeCell ref="A186:A187"/>
    <mergeCell ref="B186:B187"/>
    <mergeCell ref="A188:A189"/>
    <mergeCell ref="B188:B189"/>
    <mergeCell ref="A178:A179"/>
    <mergeCell ref="B178:B179"/>
    <mergeCell ref="A180:A181"/>
    <mergeCell ref="B180:B181"/>
    <mergeCell ref="A182:A183"/>
    <mergeCell ref="B182:B183"/>
    <mergeCell ref="A196:A197"/>
    <mergeCell ref="B196:B197"/>
    <mergeCell ref="A198:A199"/>
    <mergeCell ref="B198:B199"/>
    <mergeCell ref="A200:A201"/>
    <mergeCell ref="B200:B201"/>
    <mergeCell ref="A190:A191"/>
    <mergeCell ref="B190:B191"/>
    <mergeCell ref="A192:A193"/>
    <mergeCell ref="B192:B193"/>
    <mergeCell ref="A194:A195"/>
    <mergeCell ref="B194:B195"/>
    <mergeCell ref="A208:A209"/>
    <mergeCell ref="B208:B209"/>
    <mergeCell ref="A210:A211"/>
    <mergeCell ref="B210:B211"/>
    <mergeCell ref="A212:A213"/>
    <mergeCell ref="B212:B213"/>
    <mergeCell ref="A202:A203"/>
    <mergeCell ref="B202:B203"/>
    <mergeCell ref="A204:A205"/>
    <mergeCell ref="B204:B205"/>
    <mergeCell ref="A206:A207"/>
    <mergeCell ref="B206:B207"/>
    <mergeCell ref="A220:A221"/>
    <mergeCell ref="B220:B221"/>
    <mergeCell ref="A222:A223"/>
    <mergeCell ref="B222:B223"/>
    <mergeCell ref="A224:A225"/>
    <mergeCell ref="B224:B225"/>
    <mergeCell ref="A214:A215"/>
    <mergeCell ref="B214:B215"/>
    <mergeCell ref="A216:A217"/>
    <mergeCell ref="B216:B217"/>
    <mergeCell ref="A218:A219"/>
    <mergeCell ref="B218:B219"/>
    <mergeCell ref="A232:A233"/>
    <mergeCell ref="B232:B233"/>
    <mergeCell ref="A234:A235"/>
    <mergeCell ref="B234:B235"/>
    <mergeCell ref="A236:A237"/>
    <mergeCell ref="B236:B237"/>
    <mergeCell ref="A226:A227"/>
    <mergeCell ref="B226:B227"/>
    <mergeCell ref="A228:A229"/>
    <mergeCell ref="B228:B229"/>
    <mergeCell ref="A230:A231"/>
    <mergeCell ref="B230:B231"/>
    <mergeCell ref="C19:I19"/>
    <mergeCell ref="C21:I21"/>
    <mergeCell ref="C23:I23"/>
    <mergeCell ref="C25:I25"/>
    <mergeCell ref="C27:I27"/>
    <mergeCell ref="C5:I5"/>
    <mergeCell ref="C7:I7"/>
    <mergeCell ref="C9:I9"/>
    <mergeCell ref="C11:I11"/>
    <mergeCell ref="C13:I13"/>
    <mergeCell ref="C15:I15"/>
    <mergeCell ref="C41:I41"/>
    <mergeCell ref="C43:I43"/>
    <mergeCell ref="C45:I45"/>
    <mergeCell ref="C47:I47"/>
    <mergeCell ref="C49:I49"/>
    <mergeCell ref="C51:I51"/>
    <mergeCell ref="C29:I29"/>
    <mergeCell ref="C31:I31"/>
    <mergeCell ref="C33:I33"/>
    <mergeCell ref="C35:I35"/>
    <mergeCell ref="C37:I37"/>
    <mergeCell ref="C39:I39"/>
    <mergeCell ref="C65:I65"/>
    <mergeCell ref="C67:I67"/>
    <mergeCell ref="C69:I69"/>
    <mergeCell ref="C71:I71"/>
    <mergeCell ref="C73:I73"/>
    <mergeCell ref="C75:I75"/>
    <mergeCell ref="C53:I53"/>
    <mergeCell ref="C55:I55"/>
    <mergeCell ref="C57:I57"/>
    <mergeCell ref="C59:I59"/>
    <mergeCell ref="C61:I61"/>
    <mergeCell ref="C63:I63"/>
    <mergeCell ref="C89:I89"/>
    <mergeCell ref="C91:I91"/>
    <mergeCell ref="C93:I93"/>
    <mergeCell ref="C95:I95"/>
    <mergeCell ref="C97:I97"/>
    <mergeCell ref="C99:I99"/>
    <mergeCell ref="C77:I77"/>
    <mergeCell ref="C79:I79"/>
    <mergeCell ref="C81:I81"/>
    <mergeCell ref="C83:I83"/>
    <mergeCell ref="C85:I85"/>
    <mergeCell ref="C87:I87"/>
    <mergeCell ref="C113:I113"/>
    <mergeCell ref="C115:I115"/>
    <mergeCell ref="C117:I117"/>
    <mergeCell ref="C119:I119"/>
    <mergeCell ref="C121:I121"/>
    <mergeCell ref="C123:I123"/>
    <mergeCell ref="C101:I101"/>
    <mergeCell ref="C103:I103"/>
    <mergeCell ref="C105:I105"/>
    <mergeCell ref="C107:I107"/>
    <mergeCell ref="C109:I109"/>
    <mergeCell ref="C111:I111"/>
    <mergeCell ref="C137:I137"/>
    <mergeCell ref="C139:I139"/>
    <mergeCell ref="C141:I141"/>
    <mergeCell ref="C143:I143"/>
    <mergeCell ref="C145:I145"/>
    <mergeCell ref="C147:I147"/>
    <mergeCell ref="C125:I125"/>
    <mergeCell ref="C127:I127"/>
    <mergeCell ref="C129:I129"/>
    <mergeCell ref="C131:I131"/>
    <mergeCell ref="C133:I133"/>
    <mergeCell ref="C135:I135"/>
    <mergeCell ref="C161:I161"/>
    <mergeCell ref="C163:I163"/>
    <mergeCell ref="C165:I165"/>
    <mergeCell ref="C167:I167"/>
    <mergeCell ref="C169:I169"/>
    <mergeCell ref="C171:I171"/>
    <mergeCell ref="C149:I149"/>
    <mergeCell ref="C151:I151"/>
    <mergeCell ref="C153:I153"/>
    <mergeCell ref="C155:I155"/>
    <mergeCell ref="C157:I157"/>
    <mergeCell ref="C159:I159"/>
    <mergeCell ref="C185:I185"/>
    <mergeCell ref="C187:I187"/>
    <mergeCell ref="C189:I189"/>
    <mergeCell ref="C191:I191"/>
    <mergeCell ref="C193:I193"/>
    <mergeCell ref="C195:I195"/>
    <mergeCell ref="C173:I173"/>
    <mergeCell ref="C175:I175"/>
    <mergeCell ref="C177:I177"/>
    <mergeCell ref="C179:I179"/>
    <mergeCell ref="C181:I181"/>
    <mergeCell ref="C183:I183"/>
    <mergeCell ref="C209:I209"/>
    <mergeCell ref="C211:I211"/>
    <mergeCell ref="C213:I213"/>
    <mergeCell ref="C215:I215"/>
    <mergeCell ref="C217:I217"/>
    <mergeCell ref="C219:I219"/>
    <mergeCell ref="C197:I197"/>
    <mergeCell ref="C199:I199"/>
    <mergeCell ref="C201:I201"/>
    <mergeCell ref="C203:I203"/>
    <mergeCell ref="C205:I205"/>
    <mergeCell ref="C207:I207"/>
    <mergeCell ref="C233:I233"/>
    <mergeCell ref="C235:I235"/>
    <mergeCell ref="C237:I237"/>
    <mergeCell ref="C221:I221"/>
    <mergeCell ref="C223:I223"/>
    <mergeCell ref="C225:I225"/>
    <mergeCell ref="C227:I227"/>
    <mergeCell ref="C229:I229"/>
    <mergeCell ref="C231:I231"/>
  </mergeCells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lineWeight="2.25" displayEmptyCellsAs="gap" minAxisType="custom" maxAxisType="custom" xr2:uid="{00000000-0003-0000-0400-000062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Odpis_termomodernizacja!C4:I4</xm:f>
              <xm:sqref>C5</xm:sqref>
            </x14:sparkline>
          </x14:sparklines>
        </x14:sparklineGroup>
        <x14:sparklineGroup manualMax="0" manualMin="0" lineWeight="2.25" displayEmptyCellsAs="gap" minAxisType="custom" maxAxisType="custom" xr2:uid="{00000000-0003-0000-0400-000061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Odpis_termomodernizacja!C6:I6</xm:f>
              <xm:sqref>C7</xm:sqref>
            </x14:sparkline>
          </x14:sparklines>
        </x14:sparklineGroup>
        <x14:sparklineGroup manualMax="0" manualMin="0" lineWeight="2.25" displayEmptyCellsAs="gap" minAxisType="custom" maxAxisType="custom" xr2:uid="{00000000-0003-0000-0400-000060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Odpis_termomodernizacja!C8:I8</xm:f>
              <xm:sqref>C9</xm:sqref>
            </x14:sparkline>
          </x14:sparklines>
        </x14:sparklineGroup>
        <x14:sparklineGroup manualMax="0" manualMin="0" lineWeight="2.25" displayEmptyCellsAs="gap" minAxisType="custom" maxAxisType="custom" xr2:uid="{00000000-0003-0000-0400-00005F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Odpis_termomodernizacja!C10:I10</xm:f>
              <xm:sqref>C11</xm:sqref>
            </x14:sparkline>
          </x14:sparklines>
        </x14:sparklineGroup>
        <x14:sparklineGroup manualMax="0" manualMin="0" lineWeight="2.25" displayEmptyCellsAs="gap" minAxisType="custom" maxAxisType="custom" xr2:uid="{00000000-0003-0000-0400-00005E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Odpis_termomodernizacja!C12:I12</xm:f>
              <xm:sqref>C13</xm:sqref>
            </x14:sparkline>
          </x14:sparklines>
        </x14:sparklineGroup>
        <x14:sparklineGroup manualMax="0" manualMin="0" lineWeight="2.25" displayEmptyCellsAs="gap" minAxisType="custom" maxAxisType="custom" xr2:uid="{00000000-0003-0000-0400-00005D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Odpis_termomodernizacja!C14:I14</xm:f>
              <xm:sqref>C15</xm:sqref>
            </x14:sparkline>
          </x14:sparklines>
        </x14:sparklineGroup>
        <x14:sparklineGroup manualMax="0" manualMin="0" lineWeight="2.25" displayEmptyCellsAs="gap" minAxisType="custom" maxAxisType="custom" xr2:uid="{00000000-0003-0000-0400-00005C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Odpis_termomodernizacja!C16:I16</xm:f>
              <xm:sqref>C17</xm:sqref>
            </x14:sparkline>
          </x14:sparklines>
        </x14:sparklineGroup>
        <x14:sparklineGroup manualMax="0" manualMin="0" lineWeight="2.25" displayEmptyCellsAs="gap" minAxisType="custom" maxAxisType="custom" xr2:uid="{00000000-0003-0000-0400-00005B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Odpis_termomodernizacja!C18:I18</xm:f>
              <xm:sqref>C19</xm:sqref>
            </x14:sparkline>
          </x14:sparklines>
        </x14:sparklineGroup>
        <x14:sparklineGroup manualMax="0" manualMin="0" lineWeight="2.25" displayEmptyCellsAs="gap" minAxisType="custom" maxAxisType="custom" xr2:uid="{00000000-0003-0000-0400-00005A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Odpis_termomodernizacja!C20:I20</xm:f>
              <xm:sqref>C21</xm:sqref>
            </x14:sparkline>
          </x14:sparklines>
        </x14:sparklineGroup>
        <x14:sparklineGroup manualMax="0" manualMin="0" lineWeight="2.25" displayEmptyCellsAs="gap" minAxisType="custom" maxAxisType="custom" xr2:uid="{00000000-0003-0000-0400-000059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Odpis_termomodernizacja!C22:I22</xm:f>
              <xm:sqref>C23</xm:sqref>
            </x14:sparkline>
          </x14:sparklines>
        </x14:sparklineGroup>
        <x14:sparklineGroup manualMax="0" manualMin="0" lineWeight="2.25" displayEmptyCellsAs="gap" minAxisType="custom" maxAxisType="custom" xr2:uid="{00000000-0003-0000-0400-000058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Odpis_termomodernizacja!C24:I24</xm:f>
              <xm:sqref>C25</xm:sqref>
            </x14:sparkline>
          </x14:sparklines>
        </x14:sparklineGroup>
        <x14:sparklineGroup manualMax="0" manualMin="0" lineWeight="1.5" displayEmptyCellsAs="gap" minAxisType="custom" maxAxisType="custom" xr2:uid="{00000000-0003-0000-0400-000057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Odpis_termomodernizacja!C26:I26</xm:f>
              <xm:sqref>C27</xm:sqref>
            </x14:sparkline>
          </x14:sparklines>
        </x14:sparklineGroup>
        <x14:sparklineGroup manualMax="0" manualMin="0" lineWeight="2.25" displayEmptyCellsAs="gap" minAxisType="custom" maxAxisType="custom" xr2:uid="{00000000-0003-0000-0400-000056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Odpis_termomodernizacja!C28:I28</xm:f>
              <xm:sqref>C29</xm:sqref>
            </x14:sparkline>
          </x14:sparklines>
        </x14:sparklineGroup>
        <x14:sparklineGroup manualMax="0" manualMin="0" lineWeight="2.25" displayEmptyCellsAs="gap" minAxisType="custom" maxAxisType="custom" xr2:uid="{00000000-0003-0000-0400-000055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Odpis_termomodernizacja!C30:I30</xm:f>
              <xm:sqref>C31</xm:sqref>
            </x14:sparkline>
          </x14:sparklines>
        </x14:sparklineGroup>
        <x14:sparklineGroup manualMax="0" manualMin="0" lineWeight="2.25" displayEmptyCellsAs="gap" minAxisType="custom" maxAxisType="custom" xr2:uid="{00000000-0003-0000-0400-000054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Odpis_termomodernizacja!C32:I32</xm:f>
              <xm:sqref>C33</xm:sqref>
            </x14:sparkline>
          </x14:sparklines>
        </x14:sparklineGroup>
        <x14:sparklineGroup manualMax="0" manualMin="0" lineWeight="2.25" displayEmptyCellsAs="gap" minAxisType="custom" maxAxisType="custom" xr2:uid="{00000000-0003-0000-0400-000053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Odpis_termomodernizacja!C34:I34</xm:f>
              <xm:sqref>C35</xm:sqref>
            </x14:sparkline>
          </x14:sparklines>
        </x14:sparklineGroup>
        <x14:sparklineGroup manualMax="0" manualMin="0" lineWeight="2.25" displayEmptyCellsAs="gap" minAxisType="custom" maxAxisType="custom" xr2:uid="{00000000-0003-0000-0400-000052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Odpis_termomodernizacja!C36:I36</xm:f>
              <xm:sqref>C37</xm:sqref>
            </x14:sparkline>
          </x14:sparklines>
        </x14:sparklineGroup>
        <x14:sparklineGroup manualMax="0" manualMin="0" lineWeight="2.25" displayEmptyCellsAs="gap" minAxisType="custom" maxAxisType="custom" xr2:uid="{00000000-0003-0000-0400-000051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Odpis_termomodernizacja!C38:I38</xm:f>
              <xm:sqref>C39</xm:sqref>
            </x14:sparkline>
          </x14:sparklines>
        </x14:sparklineGroup>
        <x14:sparklineGroup manualMax="0" manualMin="0" lineWeight="2.25" displayEmptyCellsAs="gap" minAxisType="custom" maxAxisType="custom" xr2:uid="{00000000-0003-0000-0400-000050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Odpis_termomodernizacja!C40:I40</xm:f>
              <xm:sqref>C41</xm:sqref>
            </x14:sparkline>
          </x14:sparklines>
        </x14:sparklineGroup>
        <x14:sparklineGroup manualMax="0" manualMin="0" lineWeight="2.25" displayEmptyCellsAs="gap" minAxisType="custom" maxAxisType="custom" xr2:uid="{00000000-0003-0000-0400-00004F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Odpis_termomodernizacja!C42:I42</xm:f>
              <xm:sqref>C43</xm:sqref>
            </x14:sparkline>
          </x14:sparklines>
        </x14:sparklineGroup>
        <x14:sparklineGroup manualMax="0" manualMin="0" lineWeight="2.25" displayEmptyCellsAs="gap" minAxisType="custom" maxAxisType="custom" xr2:uid="{00000000-0003-0000-0400-00004E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Odpis_termomodernizacja!C44:I44</xm:f>
              <xm:sqref>C45</xm:sqref>
            </x14:sparkline>
          </x14:sparklines>
        </x14:sparklineGroup>
        <x14:sparklineGroup manualMax="0" manualMin="0" lineWeight="2.25" displayEmptyCellsAs="gap" minAxisType="custom" maxAxisType="custom" xr2:uid="{00000000-0003-0000-0400-00004D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Odpis_termomodernizacja!C46:I46</xm:f>
              <xm:sqref>C47</xm:sqref>
            </x14:sparkline>
          </x14:sparklines>
        </x14:sparklineGroup>
        <x14:sparklineGroup manualMax="0" manualMin="0" lineWeight="2.25" displayEmptyCellsAs="gap" minAxisType="custom" maxAxisType="custom" xr2:uid="{00000000-0003-0000-0400-00004C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Odpis_termomodernizacja!C48:I48</xm:f>
              <xm:sqref>C49</xm:sqref>
            </x14:sparkline>
          </x14:sparklines>
        </x14:sparklineGroup>
        <x14:sparklineGroup manualMax="0" manualMin="0" lineWeight="2.25" displayEmptyCellsAs="gap" minAxisType="custom" maxAxisType="custom" xr2:uid="{00000000-0003-0000-0400-00004B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Odpis_termomodernizacja!C50:I50</xm:f>
              <xm:sqref>C51</xm:sqref>
            </x14:sparkline>
          </x14:sparklines>
        </x14:sparklineGroup>
        <x14:sparklineGroup manualMax="0" manualMin="0" lineWeight="2.25" displayEmptyCellsAs="gap" minAxisType="custom" maxAxisType="custom" xr2:uid="{00000000-0003-0000-0400-00004A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Odpis_termomodernizacja!C52:I52</xm:f>
              <xm:sqref>C53</xm:sqref>
            </x14:sparkline>
          </x14:sparklines>
        </x14:sparklineGroup>
        <x14:sparklineGroup manualMax="0" manualMin="0" lineWeight="2.25" displayEmptyCellsAs="gap" minAxisType="custom" maxAxisType="custom" xr2:uid="{00000000-0003-0000-0400-000049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Odpis_termomodernizacja!C54:I54</xm:f>
              <xm:sqref>C55</xm:sqref>
            </x14:sparkline>
          </x14:sparklines>
        </x14:sparklineGroup>
        <x14:sparklineGroup manualMax="0" manualMin="0" lineWeight="2.25" displayEmptyCellsAs="gap" minAxisType="custom" maxAxisType="custom" xr2:uid="{00000000-0003-0000-0400-000048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Odpis_termomodernizacja!C56:I56</xm:f>
              <xm:sqref>C57</xm:sqref>
            </x14:sparkline>
          </x14:sparklines>
        </x14:sparklineGroup>
        <x14:sparklineGroup manualMax="0" manualMin="0" lineWeight="2.25" displayEmptyCellsAs="gap" minAxisType="custom" maxAxisType="custom" xr2:uid="{00000000-0003-0000-0400-000047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Odpis_termomodernizacja!C58:I58</xm:f>
              <xm:sqref>C59</xm:sqref>
            </x14:sparkline>
          </x14:sparklines>
        </x14:sparklineGroup>
        <x14:sparklineGroup manualMax="0" manualMin="0" lineWeight="2.25" displayEmptyCellsAs="gap" minAxisType="custom" maxAxisType="custom" xr2:uid="{00000000-0003-0000-0400-000046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Odpis_termomodernizacja!C60:I60</xm:f>
              <xm:sqref>C61</xm:sqref>
            </x14:sparkline>
          </x14:sparklines>
        </x14:sparklineGroup>
        <x14:sparklineGroup manualMax="0" manualMin="0" lineWeight="2.25" displayEmptyCellsAs="gap" minAxisType="custom" maxAxisType="custom" xr2:uid="{00000000-0003-0000-0400-000045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Odpis_termomodernizacja!C62:I62</xm:f>
              <xm:sqref>C63</xm:sqref>
            </x14:sparkline>
          </x14:sparklines>
        </x14:sparklineGroup>
        <x14:sparklineGroup manualMax="0" manualMin="0" lineWeight="2.25" displayEmptyCellsAs="gap" minAxisType="custom" maxAxisType="custom" xr2:uid="{00000000-0003-0000-0400-000044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Odpis_termomodernizacja!C64:I64</xm:f>
              <xm:sqref>C65</xm:sqref>
            </x14:sparkline>
          </x14:sparklines>
        </x14:sparklineGroup>
        <x14:sparklineGroup manualMax="0" manualMin="0" lineWeight="2.25" displayEmptyCellsAs="gap" minAxisType="custom" maxAxisType="custom" xr2:uid="{00000000-0003-0000-0400-000043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Odpis_termomodernizacja!C66:I66</xm:f>
              <xm:sqref>C67</xm:sqref>
            </x14:sparkline>
          </x14:sparklines>
        </x14:sparklineGroup>
        <x14:sparklineGroup manualMax="0" manualMin="0" lineWeight="2.25" displayEmptyCellsAs="gap" minAxisType="custom" maxAxisType="custom" xr2:uid="{00000000-0003-0000-0400-000042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Odpis_termomodernizacja!C68:I68</xm:f>
              <xm:sqref>C69</xm:sqref>
            </x14:sparkline>
          </x14:sparklines>
        </x14:sparklineGroup>
        <x14:sparklineGroup manualMax="0" manualMin="0" lineWeight="2.25" displayEmptyCellsAs="gap" minAxisType="custom" maxAxisType="custom" xr2:uid="{00000000-0003-0000-0400-000041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Odpis_termomodernizacja!C70:I70</xm:f>
              <xm:sqref>C71</xm:sqref>
            </x14:sparkline>
          </x14:sparklines>
        </x14:sparklineGroup>
        <x14:sparklineGroup manualMax="0" manualMin="0" lineWeight="2.25" displayEmptyCellsAs="gap" minAxisType="custom" maxAxisType="custom" xr2:uid="{00000000-0003-0000-0400-000040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Odpis_termomodernizacja!C72:I72</xm:f>
              <xm:sqref>C73</xm:sqref>
            </x14:sparkline>
          </x14:sparklines>
        </x14:sparklineGroup>
        <x14:sparklineGroup manualMax="0" manualMin="0" lineWeight="2.25" displayEmptyCellsAs="gap" minAxisType="custom" maxAxisType="custom" xr2:uid="{00000000-0003-0000-0400-00003F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Odpis_termomodernizacja!C74:I74</xm:f>
              <xm:sqref>C75</xm:sqref>
            </x14:sparkline>
          </x14:sparklines>
        </x14:sparklineGroup>
        <x14:sparklineGroup manualMax="0" manualMin="0" lineWeight="2.25" displayEmptyCellsAs="gap" minAxisType="custom" maxAxisType="custom" xr2:uid="{00000000-0003-0000-0400-00003E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Odpis_termomodernizacja!C76:I76</xm:f>
              <xm:sqref>C77</xm:sqref>
            </x14:sparkline>
          </x14:sparklines>
        </x14:sparklineGroup>
        <x14:sparklineGroup manualMax="0" manualMin="0" lineWeight="2.25" displayEmptyCellsAs="gap" minAxisType="custom" maxAxisType="custom" xr2:uid="{00000000-0003-0000-0400-00003D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Odpis_termomodernizacja!C78:I78</xm:f>
              <xm:sqref>C79</xm:sqref>
            </x14:sparkline>
          </x14:sparklines>
        </x14:sparklineGroup>
        <x14:sparklineGroup manualMax="0" manualMin="0" lineWeight="2.25" displayEmptyCellsAs="gap" minAxisType="custom" maxAxisType="custom" xr2:uid="{00000000-0003-0000-0400-00003C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Odpis_termomodernizacja!C80:I80</xm:f>
              <xm:sqref>C81</xm:sqref>
            </x14:sparkline>
          </x14:sparklines>
        </x14:sparklineGroup>
        <x14:sparklineGroup manualMax="0" manualMin="0" lineWeight="2.25" displayEmptyCellsAs="gap" minAxisType="custom" maxAxisType="custom" xr2:uid="{00000000-0003-0000-0400-00003B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Odpis_termomodernizacja!C82:I82</xm:f>
              <xm:sqref>C83</xm:sqref>
            </x14:sparkline>
          </x14:sparklines>
        </x14:sparklineGroup>
        <x14:sparklineGroup manualMax="0" manualMin="0" lineWeight="2.25" displayEmptyCellsAs="gap" minAxisType="custom" maxAxisType="custom" xr2:uid="{00000000-0003-0000-0400-00003A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Odpis_termomodernizacja!C84:I84</xm:f>
              <xm:sqref>C85</xm:sqref>
            </x14:sparkline>
          </x14:sparklines>
        </x14:sparklineGroup>
        <x14:sparklineGroup manualMax="0" manualMin="0" lineWeight="2.25" displayEmptyCellsAs="gap" minAxisType="custom" maxAxisType="custom" xr2:uid="{00000000-0003-0000-0400-000039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Odpis_termomodernizacja!C86:I86</xm:f>
              <xm:sqref>C87</xm:sqref>
            </x14:sparkline>
          </x14:sparklines>
        </x14:sparklineGroup>
        <x14:sparklineGroup manualMax="0" manualMin="0" lineWeight="2.25" displayEmptyCellsAs="gap" minAxisType="custom" maxAxisType="custom" xr2:uid="{00000000-0003-0000-0400-000038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Odpis_termomodernizacja!C88:I88</xm:f>
              <xm:sqref>C89</xm:sqref>
            </x14:sparkline>
          </x14:sparklines>
        </x14:sparklineGroup>
        <x14:sparklineGroup manualMax="0" manualMin="0" lineWeight="2.25" displayEmptyCellsAs="gap" minAxisType="custom" maxAxisType="custom" xr2:uid="{00000000-0003-0000-0400-000037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Odpis_termomodernizacja!C90:I90</xm:f>
              <xm:sqref>C91</xm:sqref>
            </x14:sparkline>
          </x14:sparklines>
        </x14:sparklineGroup>
        <x14:sparklineGroup manualMax="0" manualMin="0" lineWeight="2.25" displayEmptyCellsAs="gap" minAxisType="custom" maxAxisType="custom" xr2:uid="{00000000-0003-0000-0400-000036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Odpis_termomodernizacja!C92:I92</xm:f>
              <xm:sqref>C93</xm:sqref>
            </x14:sparkline>
          </x14:sparklines>
        </x14:sparklineGroup>
        <x14:sparklineGroup manualMax="0" manualMin="0" lineWeight="2.25" displayEmptyCellsAs="gap" minAxisType="custom" maxAxisType="custom" xr2:uid="{00000000-0003-0000-0400-000035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Odpis_termomodernizacja!C94:I94</xm:f>
              <xm:sqref>C95</xm:sqref>
            </x14:sparkline>
          </x14:sparklines>
        </x14:sparklineGroup>
        <x14:sparklineGroup manualMax="0" manualMin="0" lineWeight="2.25" displayEmptyCellsAs="gap" minAxisType="custom" maxAxisType="custom" xr2:uid="{00000000-0003-0000-0400-000034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Odpis_termomodernizacja!C96:I96</xm:f>
              <xm:sqref>C97</xm:sqref>
            </x14:sparkline>
          </x14:sparklines>
        </x14:sparklineGroup>
        <x14:sparklineGroup manualMax="0" manualMin="0" lineWeight="2.25" displayEmptyCellsAs="gap" minAxisType="custom" maxAxisType="custom" xr2:uid="{00000000-0003-0000-0400-000033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Odpis_termomodernizacja!C98:I98</xm:f>
              <xm:sqref>C99</xm:sqref>
            </x14:sparkline>
          </x14:sparklines>
        </x14:sparklineGroup>
        <x14:sparklineGroup manualMax="0" manualMin="0" lineWeight="2.25" displayEmptyCellsAs="gap" minAxisType="custom" maxAxisType="custom" xr2:uid="{00000000-0003-0000-0400-000032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Odpis_termomodernizacja!C100:I100</xm:f>
              <xm:sqref>C101</xm:sqref>
            </x14:sparkline>
          </x14:sparklines>
        </x14:sparklineGroup>
        <x14:sparklineGroup manualMax="0" manualMin="0" lineWeight="2.25" displayEmptyCellsAs="gap" minAxisType="custom" maxAxisType="custom" xr2:uid="{00000000-0003-0000-0400-000031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Odpis_termomodernizacja!C102:I102</xm:f>
              <xm:sqref>C103</xm:sqref>
            </x14:sparkline>
          </x14:sparklines>
        </x14:sparklineGroup>
        <x14:sparklineGroup manualMax="0" manualMin="0" lineWeight="2.25" displayEmptyCellsAs="gap" minAxisType="custom" maxAxisType="custom" xr2:uid="{00000000-0003-0000-0400-000030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Odpis_termomodernizacja!C104:I104</xm:f>
              <xm:sqref>C105</xm:sqref>
            </x14:sparkline>
          </x14:sparklines>
        </x14:sparklineGroup>
        <x14:sparklineGroup manualMax="0" manualMin="0" lineWeight="2.25" displayEmptyCellsAs="gap" minAxisType="custom" maxAxisType="custom" xr2:uid="{00000000-0003-0000-0400-00002F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Odpis_termomodernizacja!C106:I106</xm:f>
              <xm:sqref>C107</xm:sqref>
            </x14:sparkline>
          </x14:sparklines>
        </x14:sparklineGroup>
        <x14:sparklineGroup manualMax="0" manualMin="0" lineWeight="2.25" displayEmptyCellsAs="gap" minAxisType="custom" maxAxisType="custom" xr2:uid="{00000000-0003-0000-0400-00002E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Odpis_termomodernizacja!C108:I108</xm:f>
              <xm:sqref>C109</xm:sqref>
            </x14:sparkline>
          </x14:sparklines>
        </x14:sparklineGroup>
        <x14:sparklineGroup manualMax="0" manualMin="0" lineWeight="2.25" displayEmptyCellsAs="gap" minAxisType="custom" maxAxisType="custom" xr2:uid="{00000000-0003-0000-0400-00002D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Odpis_termomodernizacja!C110:I110</xm:f>
              <xm:sqref>C111</xm:sqref>
            </x14:sparkline>
          </x14:sparklines>
        </x14:sparklineGroup>
        <x14:sparklineGroup manualMax="0" manualMin="0" lineWeight="2.25" displayEmptyCellsAs="gap" minAxisType="custom" maxAxisType="custom" xr2:uid="{00000000-0003-0000-0400-00002C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Odpis_termomodernizacja!C112:I112</xm:f>
              <xm:sqref>C113</xm:sqref>
            </x14:sparkline>
          </x14:sparklines>
        </x14:sparklineGroup>
        <x14:sparklineGroup manualMax="0" manualMin="0" lineWeight="2.25" displayEmptyCellsAs="gap" minAxisType="custom" maxAxisType="custom" xr2:uid="{00000000-0003-0000-0400-00002B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Odpis_termomodernizacja!C114:I114</xm:f>
              <xm:sqref>C115</xm:sqref>
            </x14:sparkline>
          </x14:sparklines>
        </x14:sparklineGroup>
        <x14:sparklineGroup manualMax="0" manualMin="0" lineWeight="2.25" displayEmptyCellsAs="gap" minAxisType="custom" maxAxisType="custom" xr2:uid="{00000000-0003-0000-0400-00002A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Odpis_termomodernizacja!C116:I116</xm:f>
              <xm:sqref>C117</xm:sqref>
            </x14:sparkline>
          </x14:sparklines>
        </x14:sparklineGroup>
        <x14:sparklineGroup manualMax="0" manualMin="0" lineWeight="2.25" displayEmptyCellsAs="gap" minAxisType="custom" maxAxisType="custom" xr2:uid="{00000000-0003-0000-0400-000029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Odpis_termomodernizacja!C118:I118</xm:f>
              <xm:sqref>C119</xm:sqref>
            </x14:sparkline>
          </x14:sparklines>
        </x14:sparklineGroup>
        <x14:sparklineGroup manualMax="0" manualMin="0" lineWeight="2.25" displayEmptyCellsAs="gap" minAxisType="custom" maxAxisType="custom" xr2:uid="{00000000-0003-0000-0400-000028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Odpis_termomodernizacja!C120:I120</xm:f>
              <xm:sqref>C121</xm:sqref>
            </x14:sparkline>
          </x14:sparklines>
        </x14:sparklineGroup>
        <x14:sparklineGroup manualMax="0" manualMin="0" lineWeight="2.25" displayEmptyCellsAs="gap" minAxisType="custom" maxAxisType="custom" xr2:uid="{00000000-0003-0000-0400-000027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Odpis_termomodernizacja!C122:I122</xm:f>
              <xm:sqref>C123</xm:sqref>
            </x14:sparkline>
          </x14:sparklines>
        </x14:sparklineGroup>
        <x14:sparklineGroup manualMax="0" manualMin="0" lineWeight="2.25" displayEmptyCellsAs="gap" minAxisType="custom" maxAxisType="custom" xr2:uid="{00000000-0003-0000-0400-000026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Odpis_termomodernizacja!C124:I124</xm:f>
              <xm:sqref>C125</xm:sqref>
            </x14:sparkline>
          </x14:sparklines>
        </x14:sparklineGroup>
        <x14:sparklineGroup manualMax="0" manualMin="0" lineWeight="2.25" displayEmptyCellsAs="gap" minAxisType="custom" maxAxisType="custom" xr2:uid="{00000000-0003-0000-0400-000025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Odpis_termomodernizacja!C126:I126</xm:f>
              <xm:sqref>C127</xm:sqref>
            </x14:sparkline>
          </x14:sparklines>
        </x14:sparklineGroup>
        <x14:sparklineGroup manualMax="0" manualMin="0" lineWeight="2.25" displayEmptyCellsAs="gap" minAxisType="custom" maxAxisType="custom" xr2:uid="{00000000-0003-0000-0400-000024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Odpis_termomodernizacja!C128:I128</xm:f>
              <xm:sqref>C129</xm:sqref>
            </x14:sparkline>
          </x14:sparklines>
        </x14:sparklineGroup>
        <x14:sparklineGroup manualMax="0" manualMin="0" lineWeight="2.25" displayEmptyCellsAs="gap" minAxisType="custom" maxAxisType="custom" xr2:uid="{00000000-0003-0000-0400-000023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Odpis_termomodernizacja!C130:I130</xm:f>
              <xm:sqref>C131</xm:sqref>
            </x14:sparkline>
          </x14:sparklines>
        </x14:sparklineGroup>
        <x14:sparklineGroup manualMax="0" manualMin="0" lineWeight="2.25" displayEmptyCellsAs="gap" minAxisType="custom" maxAxisType="custom" xr2:uid="{00000000-0003-0000-0400-000022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Odpis_termomodernizacja!C132:I132</xm:f>
              <xm:sqref>C133</xm:sqref>
            </x14:sparkline>
          </x14:sparklines>
        </x14:sparklineGroup>
        <x14:sparklineGroup manualMax="0" manualMin="0" lineWeight="2.25" displayEmptyCellsAs="gap" minAxisType="custom" maxAxisType="custom" xr2:uid="{00000000-0003-0000-0400-000021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Odpis_termomodernizacja!C134:I134</xm:f>
              <xm:sqref>C135</xm:sqref>
            </x14:sparkline>
          </x14:sparklines>
        </x14:sparklineGroup>
        <x14:sparklineGroup manualMax="0" manualMin="0" lineWeight="2.25" displayEmptyCellsAs="gap" minAxisType="custom" maxAxisType="custom" xr2:uid="{00000000-0003-0000-0400-000020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Odpis_termomodernizacja!C136:I136</xm:f>
              <xm:sqref>C137</xm:sqref>
            </x14:sparkline>
          </x14:sparklines>
        </x14:sparklineGroup>
        <x14:sparklineGroup manualMax="0" manualMin="0" lineWeight="2.25" displayEmptyCellsAs="gap" minAxisType="custom" maxAxisType="custom" xr2:uid="{00000000-0003-0000-0400-00001F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Odpis_termomodernizacja!C138:I138</xm:f>
              <xm:sqref>C139</xm:sqref>
            </x14:sparkline>
          </x14:sparklines>
        </x14:sparklineGroup>
        <x14:sparklineGroup manualMax="0" manualMin="0" lineWeight="2.25" displayEmptyCellsAs="gap" minAxisType="custom" maxAxisType="custom" xr2:uid="{00000000-0003-0000-0400-00001E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Odpis_termomodernizacja!C140:I140</xm:f>
              <xm:sqref>C141</xm:sqref>
            </x14:sparkline>
          </x14:sparklines>
        </x14:sparklineGroup>
        <x14:sparklineGroup manualMax="0" manualMin="0" lineWeight="2.25" displayEmptyCellsAs="gap" minAxisType="custom" maxAxisType="custom" xr2:uid="{00000000-0003-0000-0400-00001D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Odpis_termomodernizacja!C142:I142</xm:f>
              <xm:sqref>C143</xm:sqref>
            </x14:sparkline>
          </x14:sparklines>
        </x14:sparklineGroup>
        <x14:sparklineGroup manualMax="0" manualMin="0" lineWeight="2.25" displayEmptyCellsAs="gap" minAxisType="custom" maxAxisType="custom" xr2:uid="{00000000-0003-0000-0400-00001C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Odpis_termomodernizacja!C144:I144</xm:f>
              <xm:sqref>C145</xm:sqref>
            </x14:sparkline>
          </x14:sparklines>
        </x14:sparklineGroup>
        <x14:sparklineGroup manualMax="0" manualMin="0" lineWeight="2.25" displayEmptyCellsAs="gap" minAxisType="custom" maxAxisType="custom" xr2:uid="{00000000-0003-0000-0400-00001B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Odpis_termomodernizacja!C146:I146</xm:f>
              <xm:sqref>C147</xm:sqref>
            </x14:sparkline>
          </x14:sparklines>
        </x14:sparklineGroup>
        <x14:sparklineGroup manualMax="0" manualMin="0" lineWeight="2.25" displayEmptyCellsAs="gap" minAxisType="custom" maxAxisType="custom" xr2:uid="{00000000-0003-0000-0400-00001A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Odpis_termomodernizacja!C148:I148</xm:f>
              <xm:sqref>C149</xm:sqref>
            </x14:sparkline>
          </x14:sparklines>
        </x14:sparklineGroup>
        <x14:sparklineGroup manualMax="0" manualMin="0" lineWeight="2.25" displayEmptyCellsAs="gap" minAxisType="custom" maxAxisType="custom" xr2:uid="{00000000-0003-0000-0400-000019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Odpis_termomodernizacja!C150:I150</xm:f>
              <xm:sqref>C151</xm:sqref>
            </x14:sparkline>
          </x14:sparklines>
        </x14:sparklineGroup>
        <x14:sparklineGroup manualMax="0" manualMin="0" lineWeight="2.25" displayEmptyCellsAs="gap" minAxisType="custom" maxAxisType="custom" xr2:uid="{00000000-0003-0000-0400-000018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Odpis_termomodernizacja!C152:I152</xm:f>
              <xm:sqref>C153</xm:sqref>
            </x14:sparkline>
          </x14:sparklines>
        </x14:sparklineGroup>
        <x14:sparklineGroup manualMax="0" manualMin="0" lineWeight="2.25" displayEmptyCellsAs="gap" minAxisType="custom" maxAxisType="custom" xr2:uid="{00000000-0003-0000-0400-000017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Odpis_termomodernizacja!C154:I154</xm:f>
              <xm:sqref>C155</xm:sqref>
            </x14:sparkline>
          </x14:sparklines>
        </x14:sparklineGroup>
        <x14:sparklineGroup manualMax="0" manualMin="0" lineWeight="2.25" displayEmptyCellsAs="gap" minAxisType="custom" maxAxisType="custom" xr2:uid="{00000000-0003-0000-0400-000016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Odpis_termomodernizacja!C156:I156</xm:f>
              <xm:sqref>C157</xm:sqref>
            </x14:sparkline>
          </x14:sparklines>
        </x14:sparklineGroup>
        <x14:sparklineGroup manualMax="0" manualMin="0" lineWeight="2.25" displayEmptyCellsAs="gap" minAxisType="custom" maxAxisType="custom" xr2:uid="{00000000-0003-0000-0400-000015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Odpis_termomodernizacja!C158:I158</xm:f>
              <xm:sqref>C159</xm:sqref>
            </x14:sparkline>
          </x14:sparklines>
        </x14:sparklineGroup>
        <x14:sparklineGroup manualMax="0" manualMin="0" lineWeight="2.25" displayEmptyCellsAs="gap" minAxisType="custom" maxAxisType="custom" xr2:uid="{00000000-0003-0000-0400-000014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Odpis_termomodernizacja!C160:I160</xm:f>
              <xm:sqref>C161</xm:sqref>
            </x14:sparkline>
          </x14:sparklines>
        </x14:sparklineGroup>
        <x14:sparklineGroup manualMax="0" manualMin="0" lineWeight="2.25" displayEmptyCellsAs="gap" minAxisType="custom" maxAxisType="custom" xr2:uid="{00000000-0003-0000-0400-000013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Odpis_termomodernizacja!C162:I162</xm:f>
              <xm:sqref>C163</xm:sqref>
            </x14:sparkline>
          </x14:sparklines>
        </x14:sparklineGroup>
        <x14:sparklineGroup manualMax="0" manualMin="0" lineWeight="2.25" displayEmptyCellsAs="gap" minAxisType="custom" maxAxisType="custom" xr2:uid="{00000000-0003-0000-0400-000012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Odpis_termomodernizacja!C164:I164</xm:f>
              <xm:sqref>C165</xm:sqref>
            </x14:sparkline>
          </x14:sparklines>
        </x14:sparklineGroup>
        <x14:sparklineGroup manualMax="0" manualMin="0" lineWeight="2.25" displayEmptyCellsAs="gap" minAxisType="custom" maxAxisType="custom" xr2:uid="{00000000-0003-0000-0400-000011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Odpis_termomodernizacja!C166:I166</xm:f>
              <xm:sqref>C167</xm:sqref>
            </x14:sparkline>
          </x14:sparklines>
        </x14:sparklineGroup>
        <x14:sparklineGroup manualMax="0" manualMin="0" lineWeight="2.25" displayEmptyCellsAs="gap" minAxisType="custom" maxAxisType="custom" xr2:uid="{00000000-0003-0000-0400-000010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Odpis_termomodernizacja!C168:I168</xm:f>
              <xm:sqref>C169</xm:sqref>
            </x14:sparkline>
          </x14:sparklines>
        </x14:sparklineGroup>
        <x14:sparklineGroup manualMax="0" manualMin="0" lineWeight="2.25" displayEmptyCellsAs="gap" minAxisType="custom" maxAxisType="custom" xr2:uid="{00000000-0003-0000-0400-00000F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Odpis_termomodernizacja!C170:I170</xm:f>
              <xm:sqref>C171</xm:sqref>
            </x14:sparkline>
          </x14:sparklines>
        </x14:sparklineGroup>
        <x14:sparklineGroup manualMax="0" manualMin="0" lineWeight="2.25" displayEmptyCellsAs="gap" minAxisType="custom" maxAxisType="custom" xr2:uid="{00000000-0003-0000-0400-00000E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Odpis_termomodernizacja!C172:I172</xm:f>
              <xm:sqref>C173</xm:sqref>
            </x14:sparkline>
          </x14:sparklines>
        </x14:sparklineGroup>
        <x14:sparklineGroup manualMax="0" manualMin="0" lineWeight="2.25" displayEmptyCellsAs="gap" minAxisType="custom" maxAxisType="custom" xr2:uid="{00000000-0003-0000-0400-00000D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Odpis_termomodernizacja!C174:I174</xm:f>
              <xm:sqref>C175</xm:sqref>
            </x14:sparkline>
          </x14:sparklines>
        </x14:sparklineGroup>
        <x14:sparklineGroup manualMax="0" manualMin="0" lineWeight="2.25" displayEmptyCellsAs="gap" minAxisType="custom" maxAxisType="custom" xr2:uid="{00000000-0003-0000-0400-00000C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Odpis_termomodernizacja!C176:I176</xm:f>
              <xm:sqref>C177</xm:sqref>
            </x14:sparkline>
          </x14:sparklines>
        </x14:sparklineGroup>
        <x14:sparklineGroup manualMax="0" manualMin="0" lineWeight="2.25" displayEmptyCellsAs="gap" minAxisType="custom" maxAxisType="custom" xr2:uid="{00000000-0003-0000-0400-00000B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Odpis_termomodernizacja!C178:I178</xm:f>
              <xm:sqref>C179</xm:sqref>
            </x14:sparkline>
          </x14:sparklines>
        </x14:sparklineGroup>
        <x14:sparklineGroup manualMax="0" manualMin="0" lineWeight="2.25" displayEmptyCellsAs="gap" minAxisType="custom" maxAxisType="custom" xr2:uid="{00000000-0003-0000-0400-00000A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Odpis_termomodernizacja!C180:I180</xm:f>
              <xm:sqref>C181</xm:sqref>
            </x14:sparkline>
          </x14:sparklines>
        </x14:sparklineGroup>
        <x14:sparklineGroup manualMax="0" manualMin="0" lineWeight="2.25" displayEmptyCellsAs="gap" minAxisType="custom" maxAxisType="custom" xr2:uid="{00000000-0003-0000-0400-000009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Odpis_termomodernizacja!C182:I182</xm:f>
              <xm:sqref>C183</xm:sqref>
            </x14:sparkline>
          </x14:sparklines>
        </x14:sparklineGroup>
        <x14:sparklineGroup manualMax="0" manualMin="0" lineWeight="2.25" displayEmptyCellsAs="gap" minAxisType="custom" maxAxisType="custom" xr2:uid="{00000000-0003-0000-0400-000008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Odpis_termomodernizacja!C184:I184</xm:f>
              <xm:sqref>C185</xm:sqref>
            </x14:sparkline>
          </x14:sparklines>
        </x14:sparklineGroup>
        <x14:sparklineGroup manualMax="0" manualMin="0" lineWeight="2.25" displayEmptyCellsAs="gap" minAxisType="custom" maxAxisType="custom" xr2:uid="{00000000-0003-0000-0400-000007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Odpis_termomodernizacja!C186:I186</xm:f>
              <xm:sqref>C187</xm:sqref>
            </x14:sparkline>
          </x14:sparklines>
        </x14:sparklineGroup>
        <x14:sparklineGroup manualMax="0" manualMin="0" lineWeight="2.25" displayEmptyCellsAs="gap" minAxisType="custom" maxAxisType="custom" xr2:uid="{00000000-0003-0000-0400-000006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Odpis_termomodernizacja!C188:I188</xm:f>
              <xm:sqref>C189</xm:sqref>
            </x14:sparkline>
          </x14:sparklines>
        </x14:sparklineGroup>
        <x14:sparklineGroup manualMax="0" manualMin="0" lineWeight="2.25" displayEmptyCellsAs="gap" minAxisType="custom" maxAxisType="custom" xr2:uid="{00000000-0003-0000-0400-000005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Odpis_termomodernizacja!C190:I190</xm:f>
              <xm:sqref>C191</xm:sqref>
            </x14:sparkline>
          </x14:sparklines>
        </x14:sparklineGroup>
        <x14:sparklineGroup manualMax="0" manualMin="0" lineWeight="2.25" displayEmptyCellsAs="gap" minAxisType="custom" maxAxisType="custom" xr2:uid="{00000000-0003-0000-0400-000004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Odpis_termomodernizacja!C192:I192</xm:f>
              <xm:sqref>C193</xm:sqref>
            </x14:sparkline>
          </x14:sparklines>
        </x14:sparklineGroup>
        <x14:sparklineGroup manualMax="0" manualMin="0" lineWeight="2.25" displayEmptyCellsAs="gap" minAxisType="custom" maxAxisType="custom" xr2:uid="{00000000-0003-0000-0400-000003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Odpis_termomodernizacja!C194:I194</xm:f>
              <xm:sqref>C195</xm:sqref>
            </x14:sparkline>
          </x14:sparklines>
        </x14:sparklineGroup>
        <x14:sparklineGroup manualMax="0" manualMin="0" lineWeight="2.25" displayEmptyCellsAs="gap" minAxisType="custom" maxAxisType="custom" xr2:uid="{00000000-0003-0000-0400-000002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Odpis_termomodernizacja!C196:I196</xm:f>
              <xm:sqref>C197</xm:sqref>
            </x14:sparkline>
          </x14:sparklines>
        </x14:sparklineGroup>
        <x14:sparklineGroup manualMax="0" manualMin="0" lineWeight="2.25" displayEmptyCellsAs="gap" minAxisType="custom" maxAxisType="custom" xr2:uid="{00000000-0003-0000-0400-000001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Odpis_termomodernizacja!C198:I198</xm:f>
              <xm:sqref>C199</xm:sqref>
            </x14:sparkline>
          </x14:sparklines>
        </x14:sparklineGroup>
        <x14:sparklineGroup manualMax="0" manualMin="0" lineWeight="2.25" displayEmptyCellsAs="gap" minAxisType="custom" maxAxisType="custom" xr2:uid="{00000000-0003-0000-0400-000000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Odpis_termomodernizacja!C200:I200</xm:f>
              <xm:sqref>C201</xm:sqref>
            </x14:sparkline>
          </x14:sparklines>
        </x14:sparklineGroup>
        <x14:sparklineGroup manualMax="0" manualMin="0" lineWeight="2.25" displayEmptyCellsAs="gap" minAxisType="custom" maxAxisType="custom" xr2:uid="{00000000-0003-0000-0400-0000FF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Odpis_termomodernizacja!C202:I202</xm:f>
              <xm:sqref>C203</xm:sqref>
            </x14:sparkline>
          </x14:sparklines>
        </x14:sparklineGroup>
        <x14:sparklineGroup manualMax="0" manualMin="0" lineWeight="2.25" displayEmptyCellsAs="gap" minAxisType="custom" maxAxisType="custom" xr2:uid="{00000000-0003-0000-0400-0000FE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Odpis_termomodernizacja!C204:I204</xm:f>
              <xm:sqref>C205</xm:sqref>
            </x14:sparkline>
          </x14:sparklines>
        </x14:sparklineGroup>
        <x14:sparklineGroup manualMax="0" manualMin="0" lineWeight="2.25" displayEmptyCellsAs="gap" minAxisType="custom" maxAxisType="custom" xr2:uid="{00000000-0003-0000-0400-0000FD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Odpis_termomodernizacja!C206:I206</xm:f>
              <xm:sqref>C207</xm:sqref>
            </x14:sparkline>
          </x14:sparklines>
        </x14:sparklineGroup>
        <x14:sparklineGroup manualMax="0" manualMin="0" lineWeight="2.25" displayEmptyCellsAs="gap" minAxisType="custom" maxAxisType="custom" xr2:uid="{00000000-0003-0000-0400-0000FC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Odpis_termomodernizacja!C208:I208</xm:f>
              <xm:sqref>C209</xm:sqref>
            </x14:sparkline>
          </x14:sparklines>
        </x14:sparklineGroup>
        <x14:sparklineGroup manualMax="0" manualMin="0" lineWeight="2.25" displayEmptyCellsAs="gap" minAxisType="custom" maxAxisType="custom" xr2:uid="{00000000-0003-0000-0400-0000FB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Odpis_termomodernizacja!C210:I210</xm:f>
              <xm:sqref>C211</xm:sqref>
            </x14:sparkline>
          </x14:sparklines>
        </x14:sparklineGroup>
        <x14:sparklineGroup manualMax="0" manualMin="0" lineWeight="2.25" displayEmptyCellsAs="gap" minAxisType="custom" maxAxisType="custom" xr2:uid="{00000000-0003-0000-0400-0000FA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Odpis_termomodernizacja!C212:I212</xm:f>
              <xm:sqref>C213</xm:sqref>
            </x14:sparkline>
          </x14:sparklines>
        </x14:sparklineGroup>
        <x14:sparklineGroup manualMax="0" manualMin="0" lineWeight="2.25" displayEmptyCellsAs="gap" minAxisType="custom" maxAxisType="custom" xr2:uid="{00000000-0003-0000-0400-0000F9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Odpis_termomodernizacja!C214:I214</xm:f>
              <xm:sqref>C215</xm:sqref>
            </x14:sparkline>
          </x14:sparklines>
        </x14:sparklineGroup>
        <x14:sparklineGroup manualMax="0" manualMin="0" lineWeight="2.25" displayEmptyCellsAs="gap" minAxisType="custom" maxAxisType="custom" xr2:uid="{00000000-0003-0000-0400-0000F8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Odpis_termomodernizacja!C216:I216</xm:f>
              <xm:sqref>C217</xm:sqref>
            </x14:sparkline>
          </x14:sparklines>
        </x14:sparklineGroup>
        <x14:sparklineGroup manualMax="0" manualMin="0" lineWeight="2.25" displayEmptyCellsAs="gap" minAxisType="custom" maxAxisType="custom" xr2:uid="{00000000-0003-0000-0400-0000F7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Odpis_termomodernizacja!C218:I218</xm:f>
              <xm:sqref>C219</xm:sqref>
            </x14:sparkline>
          </x14:sparklines>
        </x14:sparklineGroup>
        <x14:sparklineGroup manualMax="0" manualMin="0" lineWeight="2.25" displayEmptyCellsAs="gap" minAxisType="custom" maxAxisType="custom" xr2:uid="{00000000-0003-0000-0400-0000F6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Odpis_termomodernizacja!C220:I220</xm:f>
              <xm:sqref>C221</xm:sqref>
            </x14:sparkline>
          </x14:sparklines>
        </x14:sparklineGroup>
        <x14:sparklineGroup manualMax="0" manualMin="0" lineWeight="2.25" displayEmptyCellsAs="gap" minAxisType="custom" maxAxisType="custom" xr2:uid="{00000000-0003-0000-0400-0000F5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Odpis_termomodernizacja!C222:I222</xm:f>
              <xm:sqref>C223</xm:sqref>
            </x14:sparkline>
          </x14:sparklines>
        </x14:sparklineGroup>
        <x14:sparklineGroup manualMax="0" manualMin="0" lineWeight="2.25" displayEmptyCellsAs="gap" minAxisType="custom" maxAxisType="custom" xr2:uid="{00000000-0003-0000-0400-0000F4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Odpis_termomodernizacja!C224:I224</xm:f>
              <xm:sqref>C225</xm:sqref>
            </x14:sparkline>
          </x14:sparklines>
        </x14:sparklineGroup>
        <x14:sparklineGroup manualMax="0" manualMin="0" lineWeight="2.25" displayEmptyCellsAs="gap" minAxisType="custom" maxAxisType="custom" xr2:uid="{00000000-0003-0000-0400-0000F3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Odpis_termomodernizacja!C226:I226</xm:f>
              <xm:sqref>C227</xm:sqref>
            </x14:sparkline>
          </x14:sparklines>
        </x14:sparklineGroup>
        <x14:sparklineGroup manualMax="0" manualMin="0" lineWeight="2.25" displayEmptyCellsAs="gap" minAxisType="custom" maxAxisType="custom" xr2:uid="{00000000-0003-0000-0400-0000F2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Odpis_termomodernizacja!C228:I228</xm:f>
              <xm:sqref>C229</xm:sqref>
            </x14:sparkline>
          </x14:sparklines>
        </x14:sparklineGroup>
        <x14:sparklineGroup manualMax="0" manualMin="0" lineWeight="2.25" displayEmptyCellsAs="gap" minAxisType="custom" maxAxisType="custom" xr2:uid="{00000000-0003-0000-0400-0000F1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Odpis_termomodernizacja!C230:I230</xm:f>
              <xm:sqref>C231</xm:sqref>
            </x14:sparkline>
          </x14:sparklines>
        </x14:sparklineGroup>
        <x14:sparklineGroup manualMax="0" manualMin="0" lineWeight="2.25" displayEmptyCellsAs="gap" minAxisType="custom" maxAxisType="custom" xr2:uid="{00000000-0003-0000-0400-0000F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Odpis_termomodernizacja!C232:I232</xm:f>
              <xm:sqref>C233</xm:sqref>
            </x14:sparkline>
          </x14:sparklines>
        </x14:sparklineGroup>
        <x14:sparklineGroup manualMax="0" manualMin="0" lineWeight="2.25" displayEmptyCellsAs="gap" minAxisType="custom" maxAxisType="custom" xr2:uid="{00000000-0003-0000-0400-0000EF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Odpis_termomodernizacja!C234:I234</xm:f>
              <xm:sqref>C235</xm:sqref>
            </x14:sparkline>
          </x14:sparklines>
        </x14:sparklineGroup>
        <x14:sparklineGroup manualMax="0" manualMin="0" lineWeight="2.25" displayEmptyCellsAs="gap" minAxisType="custom" maxAxisType="custom" xr2:uid="{00000000-0003-0000-0400-0000EE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Odpis_termomodernizacja!C236:I236</xm:f>
              <xm:sqref>C237</xm:sqref>
            </x14:sparkline>
          </x14:sparklines>
        </x14:sparklineGroup>
      </x14:sparklineGroup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L95"/>
  <sheetViews>
    <sheetView topLeftCell="A85" zoomScale="70" zoomScaleNormal="70" workbookViewId="0">
      <selection activeCell="Q12" sqref="Q12"/>
    </sheetView>
  </sheetViews>
  <sheetFormatPr defaultRowHeight="14.4" x14ac:dyDescent="0.3"/>
  <cols>
    <col min="1" max="1" width="9.109375" style="2"/>
    <col min="2" max="2" width="45.33203125" style="6" bestFit="1" customWidth="1"/>
    <col min="3" max="10" width="20.6640625" customWidth="1"/>
  </cols>
  <sheetData>
    <row r="1" spans="1:12" s="19" customFormat="1" ht="60" customHeight="1" x14ac:dyDescent="0.3">
      <c r="A1" s="89" t="s">
        <v>155</v>
      </c>
      <c r="B1" s="89"/>
      <c r="C1" s="89"/>
      <c r="D1" s="89"/>
      <c r="E1" s="89"/>
      <c r="F1" s="89"/>
      <c r="G1" s="89"/>
      <c r="H1" s="89"/>
      <c r="I1" s="89"/>
      <c r="J1" s="89"/>
    </row>
    <row r="3" spans="1:12" ht="115.5" customHeight="1" x14ac:dyDescent="0.3">
      <c r="A3" s="3" t="s">
        <v>0</v>
      </c>
      <c r="B3" s="3" t="s">
        <v>1</v>
      </c>
      <c r="C3" s="7" t="s">
        <v>145</v>
      </c>
      <c r="D3" s="7" t="s">
        <v>146</v>
      </c>
      <c r="E3" s="7" t="s">
        <v>147</v>
      </c>
      <c r="F3" s="7" t="s">
        <v>148</v>
      </c>
      <c r="G3" s="7" t="s">
        <v>149</v>
      </c>
      <c r="H3" s="7" t="s">
        <v>150</v>
      </c>
      <c r="I3" s="7" t="s">
        <v>150</v>
      </c>
      <c r="J3" s="7" t="s">
        <v>151</v>
      </c>
    </row>
    <row r="4" spans="1:12" ht="30" customHeight="1" x14ac:dyDescent="0.3">
      <c r="A4" s="71">
        <v>1</v>
      </c>
      <c r="B4" s="71" t="s">
        <v>11</v>
      </c>
      <c r="C4" s="17">
        <v>0.3</v>
      </c>
      <c r="D4" s="17">
        <v>0.3</v>
      </c>
      <c r="E4" s="17">
        <v>0.3</v>
      </c>
      <c r="F4" s="17">
        <v>0.3</v>
      </c>
      <c r="G4" s="17">
        <v>0.3</v>
      </c>
      <c r="H4" s="17">
        <v>0.3</v>
      </c>
      <c r="I4" s="17">
        <v>0.3</v>
      </c>
      <c r="J4" s="17">
        <v>0.3</v>
      </c>
      <c r="L4" s="18"/>
    </row>
    <row r="5" spans="1:12" ht="65.099999999999994" customHeight="1" x14ac:dyDescent="0.3">
      <c r="A5" s="71"/>
      <c r="B5" s="71"/>
      <c r="C5" s="90"/>
      <c r="D5" s="91"/>
      <c r="E5" s="91"/>
      <c r="F5" s="91"/>
      <c r="G5" s="91"/>
      <c r="H5" s="91"/>
      <c r="I5" s="91"/>
      <c r="J5" s="92"/>
    </row>
    <row r="6" spans="1:12" ht="30" customHeight="1" x14ac:dyDescent="0.3">
      <c r="A6" s="71">
        <v>2</v>
      </c>
      <c r="B6" s="71" t="s">
        <v>12</v>
      </c>
      <c r="C6" s="9">
        <v>0.3</v>
      </c>
      <c r="D6" s="9">
        <v>0.3</v>
      </c>
      <c r="E6" s="9">
        <v>0.3</v>
      </c>
      <c r="F6" s="9">
        <v>0.3</v>
      </c>
      <c r="G6" s="9">
        <v>0.3</v>
      </c>
      <c r="H6" s="9">
        <v>0.3</v>
      </c>
      <c r="I6" s="9">
        <v>0.3</v>
      </c>
      <c r="J6" s="9">
        <v>0.3</v>
      </c>
    </row>
    <row r="7" spans="1:12" ht="65.099999999999994" customHeight="1" x14ac:dyDescent="0.3">
      <c r="A7" s="71"/>
      <c r="B7" s="71"/>
      <c r="C7" s="77"/>
      <c r="D7" s="78"/>
      <c r="E7" s="78"/>
      <c r="F7" s="78"/>
      <c r="G7" s="78"/>
      <c r="H7" s="78"/>
      <c r="I7" s="78"/>
      <c r="J7" s="79"/>
    </row>
    <row r="8" spans="1:12" ht="30" customHeight="1" x14ac:dyDescent="0.3">
      <c r="A8" s="71">
        <v>3</v>
      </c>
      <c r="B8" s="71" t="s">
        <v>16</v>
      </c>
      <c r="C8" s="9">
        <v>0.3</v>
      </c>
      <c r="D8" s="9">
        <v>0.3</v>
      </c>
      <c r="E8" s="9">
        <v>0.3</v>
      </c>
      <c r="F8" s="9">
        <v>0.3</v>
      </c>
      <c r="G8" s="9">
        <v>0.3</v>
      </c>
      <c r="H8" s="9">
        <v>0.3</v>
      </c>
      <c r="I8" s="9">
        <v>0.3</v>
      </c>
      <c r="J8" s="9">
        <v>0.3</v>
      </c>
    </row>
    <row r="9" spans="1:12" ht="65.099999999999994" customHeight="1" x14ac:dyDescent="0.3">
      <c r="A9" s="71"/>
      <c r="B9" s="71"/>
      <c r="C9" s="77"/>
      <c r="D9" s="78"/>
      <c r="E9" s="78"/>
      <c r="F9" s="78"/>
      <c r="G9" s="78"/>
      <c r="H9" s="78"/>
      <c r="I9" s="78"/>
      <c r="J9" s="79"/>
    </row>
    <row r="10" spans="1:12" ht="30" customHeight="1" x14ac:dyDescent="0.3">
      <c r="A10" s="71">
        <v>4</v>
      </c>
      <c r="B10" s="71" t="s">
        <v>18</v>
      </c>
      <c r="C10" s="9">
        <v>0.3</v>
      </c>
      <c r="D10" s="9">
        <v>0.3</v>
      </c>
      <c r="E10" s="9">
        <v>0.3</v>
      </c>
      <c r="F10" s="9">
        <v>0.3</v>
      </c>
      <c r="G10" s="9">
        <v>0.3</v>
      </c>
      <c r="H10" s="9">
        <v>0.3</v>
      </c>
      <c r="I10" s="9">
        <v>0.3</v>
      </c>
      <c r="J10" s="9">
        <v>0.3</v>
      </c>
    </row>
    <row r="11" spans="1:12" ht="65.099999999999994" customHeight="1" x14ac:dyDescent="0.3">
      <c r="A11" s="71"/>
      <c r="B11" s="71"/>
      <c r="C11" s="77"/>
      <c r="D11" s="78"/>
      <c r="E11" s="78"/>
      <c r="F11" s="78"/>
      <c r="G11" s="78"/>
      <c r="H11" s="78"/>
      <c r="I11" s="78"/>
      <c r="J11" s="79"/>
    </row>
    <row r="12" spans="1:12" ht="30" customHeight="1" x14ac:dyDescent="0.3">
      <c r="A12" s="71">
        <v>5</v>
      </c>
      <c r="B12" s="71" t="s">
        <v>19</v>
      </c>
      <c r="C12" s="9">
        <v>0.3</v>
      </c>
      <c r="D12" s="9">
        <v>0.3</v>
      </c>
      <c r="E12" s="9">
        <v>0.3</v>
      </c>
      <c r="F12" s="9">
        <v>0.3</v>
      </c>
      <c r="G12" s="9">
        <v>0.3</v>
      </c>
      <c r="H12" s="9">
        <v>0.3</v>
      </c>
      <c r="I12" s="9">
        <v>0.3</v>
      </c>
      <c r="J12" s="9">
        <v>0.3</v>
      </c>
    </row>
    <row r="13" spans="1:12" ht="65.099999999999994" customHeight="1" x14ac:dyDescent="0.3">
      <c r="A13" s="71"/>
      <c r="B13" s="71"/>
      <c r="C13" s="77"/>
      <c r="D13" s="78"/>
      <c r="E13" s="78"/>
      <c r="F13" s="78"/>
      <c r="G13" s="78"/>
      <c r="H13" s="78"/>
      <c r="I13" s="78"/>
      <c r="J13" s="79"/>
    </row>
    <row r="14" spans="1:12" ht="30" customHeight="1" x14ac:dyDescent="0.3">
      <c r="A14" s="71">
        <v>6</v>
      </c>
      <c r="B14" s="71" t="s">
        <v>20</v>
      </c>
      <c r="C14" s="9">
        <v>0.3</v>
      </c>
      <c r="D14" s="9">
        <v>0.3</v>
      </c>
      <c r="E14" s="9">
        <v>0.3</v>
      </c>
      <c r="F14" s="9">
        <v>0.3</v>
      </c>
      <c r="G14" s="9">
        <v>0.3</v>
      </c>
      <c r="H14" s="9">
        <v>0.3</v>
      </c>
      <c r="I14" s="9">
        <v>0.3</v>
      </c>
      <c r="J14" s="9">
        <v>0.3</v>
      </c>
    </row>
    <row r="15" spans="1:12" ht="65.099999999999994" customHeight="1" x14ac:dyDescent="0.3">
      <c r="A15" s="71"/>
      <c r="B15" s="71"/>
      <c r="C15" s="77"/>
      <c r="D15" s="78"/>
      <c r="E15" s="78"/>
      <c r="F15" s="78"/>
      <c r="G15" s="78"/>
      <c r="H15" s="78"/>
      <c r="I15" s="78"/>
      <c r="J15" s="79"/>
    </row>
    <row r="16" spans="1:12" ht="30" customHeight="1" x14ac:dyDescent="0.3">
      <c r="A16" s="71">
        <v>7</v>
      </c>
      <c r="B16" s="71" t="s">
        <v>22</v>
      </c>
      <c r="C16" s="9">
        <v>0.3</v>
      </c>
      <c r="D16" s="9">
        <v>0.3</v>
      </c>
      <c r="E16" s="9">
        <v>0.3</v>
      </c>
      <c r="F16" s="9">
        <v>0.3</v>
      </c>
      <c r="G16" s="9">
        <v>0.3</v>
      </c>
      <c r="H16" s="9">
        <v>0.3</v>
      </c>
      <c r="I16" s="9">
        <v>0.3</v>
      </c>
      <c r="J16" s="9">
        <v>0.3</v>
      </c>
    </row>
    <row r="17" spans="1:10" ht="65.099999999999994" customHeight="1" x14ac:dyDescent="0.3">
      <c r="A17" s="71"/>
      <c r="B17" s="71"/>
      <c r="C17" s="77"/>
      <c r="D17" s="78"/>
      <c r="E17" s="78"/>
      <c r="F17" s="78"/>
      <c r="G17" s="78"/>
      <c r="H17" s="78"/>
      <c r="I17" s="78"/>
      <c r="J17" s="79"/>
    </row>
    <row r="18" spans="1:10" ht="30" customHeight="1" x14ac:dyDescent="0.3">
      <c r="A18" s="71">
        <v>8</v>
      </c>
      <c r="B18" s="71" t="s">
        <v>28</v>
      </c>
      <c r="C18" s="9">
        <v>0.3</v>
      </c>
      <c r="D18" s="9">
        <v>0.3</v>
      </c>
      <c r="E18" s="9">
        <v>0.3</v>
      </c>
      <c r="F18" s="9">
        <v>0.3</v>
      </c>
      <c r="G18" s="9">
        <v>0.3</v>
      </c>
      <c r="H18" s="9">
        <v>0.3</v>
      </c>
      <c r="I18" s="9">
        <v>0.3</v>
      </c>
      <c r="J18" s="9">
        <v>0.3</v>
      </c>
    </row>
    <row r="19" spans="1:10" ht="65.099999999999994" customHeight="1" x14ac:dyDescent="0.3">
      <c r="A19" s="71"/>
      <c r="B19" s="71"/>
      <c r="C19" s="77"/>
      <c r="D19" s="78"/>
      <c r="E19" s="78"/>
      <c r="F19" s="78"/>
      <c r="G19" s="78"/>
      <c r="H19" s="78"/>
      <c r="I19" s="78"/>
      <c r="J19" s="79"/>
    </row>
    <row r="20" spans="1:10" ht="30" customHeight="1" x14ac:dyDescent="0.3">
      <c r="A20" s="71">
        <v>9</v>
      </c>
      <c r="B20" s="71" t="s">
        <v>29</v>
      </c>
      <c r="C20" s="9">
        <v>0.3</v>
      </c>
      <c r="D20" s="9">
        <v>0.3</v>
      </c>
      <c r="E20" s="9">
        <v>0.3</v>
      </c>
      <c r="F20" s="9">
        <v>0.3</v>
      </c>
      <c r="G20" s="9">
        <v>0.3</v>
      </c>
      <c r="H20" s="9">
        <v>0.3</v>
      </c>
      <c r="I20" s="9">
        <v>0.3</v>
      </c>
      <c r="J20" s="9">
        <v>0.3</v>
      </c>
    </row>
    <row r="21" spans="1:10" ht="65.099999999999994" customHeight="1" x14ac:dyDescent="0.3">
      <c r="A21" s="71"/>
      <c r="B21" s="71"/>
      <c r="C21" s="77"/>
      <c r="D21" s="78"/>
      <c r="E21" s="78"/>
      <c r="F21" s="78"/>
      <c r="G21" s="78"/>
      <c r="H21" s="78"/>
      <c r="I21" s="78"/>
      <c r="J21" s="79"/>
    </row>
    <row r="22" spans="1:10" ht="30" customHeight="1" x14ac:dyDescent="0.3">
      <c r="A22" s="71">
        <v>10</v>
      </c>
      <c r="B22" s="71" t="s">
        <v>30</v>
      </c>
      <c r="C22" s="9">
        <v>0.3</v>
      </c>
      <c r="D22" s="9">
        <v>0.3</v>
      </c>
      <c r="E22" s="9">
        <v>0.3</v>
      </c>
      <c r="F22" s="9">
        <v>0.3</v>
      </c>
      <c r="G22" s="9">
        <v>0.3</v>
      </c>
      <c r="H22" s="9">
        <v>0.3</v>
      </c>
      <c r="I22" s="9">
        <v>0.3</v>
      </c>
      <c r="J22" s="9">
        <v>0.3</v>
      </c>
    </row>
    <row r="23" spans="1:10" ht="65.099999999999994" customHeight="1" x14ac:dyDescent="0.3">
      <c r="A23" s="71"/>
      <c r="B23" s="71"/>
      <c r="C23" s="77"/>
      <c r="D23" s="78"/>
      <c r="E23" s="78"/>
      <c r="F23" s="78"/>
      <c r="G23" s="78"/>
      <c r="H23" s="78"/>
      <c r="I23" s="78"/>
      <c r="J23" s="79"/>
    </row>
    <row r="24" spans="1:10" ht="30" customHeight="1" x14ac:dyDescent="0.3">
      <c r="A24" s="71">
        <v>11</v>
      </c>
      <c r="B24" s="71" t="s">
        <v>33</v>
      </c>
      <c r="C24" s="9">
        <v>0.3</v>
      </c>
      <c r="D24" s="9">
        <v>0.3</v>
      </c>
      <c r="E24" s="9">
        <v>0.3</v>
      </c>
      <c r="F24" s="9">
        <v>0.3</v>
      </c>
      <c r="G24" s="9">
        <v>0.3</v>
      </c>
      <c r="H24" s="9">
        <v>0.3</v>
      </c>
      <c r="I24" s="9">
        <v>0.3</v>
      </c>
      <c r="J24" s="9">
        <v>0.3</v>
      </c>
    </row>
    <row r="25" spans="1:10" ht="65.099999999999994" customHeight="1" x14ac:dyDescent="0.3">
      <c r="A25" s="71"/>
      <c r="B25" s="71"/>
      <c r="C25" s="77"/>
      <c r="D25" s="78"/>
      <c r="E25" s="78"/>
      <c r="F25" s="78"/>
      <c r="G25" s="78"/>
      <c r="H25" s="78"/>
      <c r="I25" s="78"/>
      <c r="J25" s="79"/>
    </row>
    <row r="26" spans="1:10" ht="30" customHeight="1" x14ac:dyDescent="0.3">
      <c r="A26" s="71">
        <v>12</v>
      </c>
      <c r="B26" s="71" t="s">
        <v>34</v>
      </c>
      <c r="C26" s="9">
        <v>0.3</v>
      </c>
      <c r="D26" s="9">
        <v>0.3</v>
      </c>
      <c r="E26" s="9">
        <v>0.3</v>
      </c>
      <c r="F26" s="9">
        <v>0.3</v>
      </c>
      <c r="G26" s="9">
        <v>0.3</v>
      </c>
      <c r="H26" s="9">
        <v>0.3</v>
      </c>
      <c r="I26" s="9">
        <v>0.3</v>
      </c>
      <c r="J26" s="9">
        <v>0.3</v>
      </c>
    </row>
    <row r="27" spans="1:10" ht="65.099999999999994" customHeight="1" x14ac:dyDescent="0.3">
      <c r="A27" s="71"/>
      <c r="B27" s="71"/>
      <c r="C27" s="77"/>
      <c r="D27" s="78"/>
      <c r="E27" s="78"/>
      <c r="F27" s="78"/>
      <c r="G27" s="78"/>
      <c r="H27" s="78"/>
      <c r="I27" s="78"/>
      <c r="J27" s="79"/>
    </row>
    <row r="28" spans="1:10" ht="30" customHeight="1" x14ac:dyDescent="0.3">
      <c r="A28" s="71">
        <v>13</v>
      </c>
      <c r="B28" s="71" t="s">
        <v>35</v>
      </c>
      <c r="C28" s="9">
        <v>0.3</v>
      </c>
      <c r="D28" s="9">
        <v>0.3</v>
      </c>
      <c r="E28" s="9">
        <v>0.3</v>
      </c>
      <c r="F28" s="9">
        <v>0.3</v>
      </c>
      <c r="G28" s="9">
        <v>0.3</v>
      </c>
      <c r="H28" s="9">
        <v>0.3</v>
      </c>
      <c r="I28" s="9">
        <v>0.3</v>
      </c>
      <c r="J28" s="9">
        <v>0.3</v>
      </c>
    </row>
    <row r="29" spans="1:10" ht="65.099999999999994" customHeight="1" x14ac:dyDescent="0.3">
      <c r="A29" s="71"/>
      <c r="B29" s="71"/>
      <c r="C29" s="77"/>
      <c r="D29" s="78"/>
      <c r="E29" s="78"/>
      <c r="F29" s="78"/>
      <c r="G29" s="78"/>
      <c r="H29" s="78"/>
      <c r="I29" s="78"/>
      <c r="J29" s="79"/>
    </row>
    <row r="30" spans="1:10" ht="30" customHeight="1" x14ac:dyDescent="0.3">
      <c r="A30" s="71">
        <v>14</v>
      </c>
      <c r="B30" s="71" t="s">
        <v>36</v>
      </c>
      <c r="C30" s="9">
        <v>0.3</v>
      </c>
      <c r="D30" s="9">
        <v>0.3</v>
      </c>
      <c r="E30" s="9">
        <v>0.3</v>
      </c>
      <c r="F30" s="9">
        <v>0.3</v>
      </c>
      <c r="G30" s="9">
        <v>0.3</v>
      </c>
      <c r="H30" s="9">
        <v>0.3</v>
      </c>
      <c r="I30" s="9">
        <v>0.3</v>
      </c>
      <c r="J30" s="9">
        <v>0.3</v>
      </c>
    </row>
    <row r="31" spans="1:10" ht="65.099999999999994" customHeight="1" x14ac:dyDescent="0.3">
      <c r="A31" s="71"/>
      <c r="B31" s="71"/>
      <c r="C31" s="77"/>
      <c r="D31" s="78"/>
      <c r="E31" s="78"/>
      <c r="F31" s="78"/>
      <c r="G31" s="78"/>
      <c r="H31" s="78"/>
      <c r="I31" s="78"/>
      <c r="J31" s="79"/>
    </row>
    <row r="32" spans="1:10" ht="30" customHeight="1" x14ac:dyDescent="0.3">
      <c r="A32" s="71">
        <v>15</v>
      </c>
      <c r="B32" s="71" t="s">
        <v>37</v>
      </c>
      <c r="C32" s="9">
        <v>0.3</v>
      </c>
      <c r="D32" s="9">
        <v>0.3</v>
      </c>
      <c r="E32" s="9">
        <v>0.3</v>
      </c>
      <c r="F32" s="9">
        <v>0.3</v>
      </c>
      <c r="G32" s="9">
        <v>0.3</v>
      </c>
      <c r="H32" s="9">
        <v>0.3</v>
      </c>
      <c r="I32" s="9">
        <v>0.3</v>
      </c>
      <c r="J32" s="9">
        <v>0.3</v>
      </c>
    </row>
    <row r="33" spans="1:10" ht="65.099999999999994" customHeight="1" x14ac:dyDescent="0.3">
      <c r="A33" s="71"/>
      <c r="B33" s="71"/>
      <c r="C33" s="77"/>
      <c r="D33" s="78"/>
      <c r="E33" s="78"/>
      <c r="F33" s="78"/>
      <c r="G33" s="78"/>
      <c r="H33" s="78"/>
      <c r="I33" s="78"/>
      <c r="J33" s="79"/>
    </row>
    <row r="34" spans="1:10" ht="30" customHeight="1" x14ac:dyDescent="0.3">
      <c r="A34" s="71">
        <v>16</v>
      </c>
      <c r="B34" s="71" t="s">
        <v>39</v>
      </c>
      <c r="C34" s="9">
        <v>0.3</v>
      </c>
      <c r="D34" s="9">
        <v>0.3</v>
      </c>
      <c r="E34" s="9">
        <v>0.3</v>
      </c>
      <c r="F34" s="9">
        <v>0.3</v>
      </c>
      <c r="G34" s="9">
        <v>0.3</v>
      </c>
      <c r="H34" s="9">
        <v>0.3</v>
      </c>
      <c r="I34" s="9">
        <v>0.3</v>
      </c>
      <c r="J34" s="9">
        <v>0.3</v>
      </c>
    </row>
    <row r="35" spans="1:10" ht="65.099999999999994" customHeight="1" x14ac:dyDescent="0.3">
      <c r="A35" s="71"/>
      <c r="B35" s="71"/>
      <c r="C35" s="77"/>
      <c r="D35" s="78"/>
      <c r="E35" s="78"/>
      <c r="F35" s="78"/>
      <c r="G35" s="78"/>
      <c r="H35" s="78"/>
      <c r="I35" s="78"/>
      <c r="J35" s="79"/>
    </row>
    <row r="36" spans="1:10" ht="30" customHeight="1" x14ac:dyDescent="0.3">
      <c r="A36" s="71">
        <v>17</v>
      </c>
      <c r="B36" s="71" t="s">
        <v>40</v>
      </c>
      <c r="C36" s="9">
        <v>0.3</v>
      </c>
      <c r="D36" s="9">
        <v>0.3</v>
      </c>
      <c r="E36" s="9">
        <v>0.3</v>
      </c>
      <c r="F36" s="9">
        <v>0.3</v>
      </c>
      <c r="G36" s="9">
        <v>0.3</v>
      </c>
      <c r="H36" s="9">
        <v>0.3</v>
      </c>
      <c r="I36" s="9">
        <v>0.3</v>
      </c>
      <c r="J36" s="9">
        <v>0.3</v>
      </c>
    </row>
    <row r="37" spans="1:10" ht="65.099999999999994" customHeight="1" x14ac:dyDescent="0.3">
      <c r="A37" s="71"/>
      <c r="B37" s="71"/>
      <c r="C37" s="77"/>
      <c r="D37" s="78"/>
      <c r="E37" s="78"/>
      <c r="F37" s="78"/>
      <c r="G37" s="78"/>
      <c r="H37" s="78"/>
      <c r="I37" s="78"/>
      <c r="J37" s="79"/>
    </row>
    <row r="38" spans="1:10" ht="30" customHeight="1" x14ac:dyDescent="0.3">
      <c r="A38" s="71">
        <v>18</v>
      </c>
      <c r="B38" s="71" t="s">
        <v>41</v>
      </c>
      <c r="C38" s="9">
        <v>0.3</v>
      </c>
      <c r="D38" s="9">
        <v>0.3</v>
      </c>
      <c r="E38" s="9">
        <v>0.3</v>
      </c>
      <c r="F38" s="9">
        <v>0.3</v>
      </c>
      <c r="G38" s="9">
        <v>0.3</v>
      </c>
      <c r="H38" s="9">
        <v>0.3</v>
      </c>
      <c r="I38" s="9">
        <v>0.3</v>
      </c>
      <c r="J38" s="9">
        <v>0.3</v>
      </c>
    </row>
    <row r="39" spans="1:10" ht="65.099999999999994" customHeight="1" x14ac:dyDescent="0.3">
      <c r="A39" s="71"/>
      <c r="B39" s="71"/>
      <c r="C39" s="77"/>
      <c r="D39" s="78"/>
      <c r="E39" s="78"/>
      <c r="F39" s="78"/>
      <c r="G39" s="78"/>
      <c r="H39" s="78"/>
      <c r="I39" s="78"/>
      <c r="J39" s="79"/>
    </row>
    <row r="40" spans="1:10" ht="30" customHeight="1" x14ac:dyDescent="0.3">
      <c r="A40" s="71">
        <v>19</v>
      </c>
      <c r="B40" s="71" t="s">
        <v>44</v>
      </c>
      <c r="C40" s="9">
        <v>0.3</v>
      </c>
      <c r="D40" s="9">
        <v>0.3</v>
      </c>
      <c r="E40" s="9">
        <v>0.3</v>
      </c>
      <c r="F40" s="9">
        <v>0.3</v>
      </c>
      <c r="G40" s="9">
        <v>0.3</v>
      </c>
      <c r="H40" s="9">
        <v>0.3</v>
      </c>
      <c r="I40" s="9">
        <v>0.3</v>
      </c>
      <c r="J40" s="9">
        <v>0.3</v>
      </c>
    </row>
    <row r="41" spans="1:10" ht="65.099999999999994" customHeight="1" x14ac:dyDescent="0.3">
      <c r="A41" s="71"/>
      <c r="B41" s="71"/>
      <c r="C41" s="77"/>
      <c r="D41" s="78"/>
      <c r="E41" s="78"/>
      <c r="F41" s="78"/>
      <c r="G41" s="78"/>
      <c r="H41" s="78"/>
      <c r="I41" s="78"/>
      <c r="J41" s="79"/>
    </row>
    <row r="42" spans="1:10" ht="30" customHeight="1" x14ac:dyDescent="0.3">
      <c r="A42" s="71">
        <v>20</v>
      </c>
      <c r="B42" s="71" t="s">
        <v>45</v>
      </c>
      <c r="C42" s="9">
        <v>0.3</v>
      </c>
      <c r="D42" s="9">
        <v>0.3</v>
      </c>
      <c r="E42" s="9">
        <v>0.3</v>
      </c>
      <c r="F42" s="9">
        <v>0.3</v>
      </c>
      <c r="G42" s="9">
        <v>0.3</v>
      </c>
      <c r="H42" s="9">
        <v>0.3</v>
      </c>
      <c r="I42" s="9">
        <v>0.3</v>
      </c>
      <c r="J42" s="9">
        <v>0.3</v>
      </c>
    </row>
    <row r="43" spans="1:10" ht="65.099999999999994" customHeight="1" x14ac:dyDescent="0.3">
      <c r="A43" s="71"/>
      <c r="B43" s="71"/>
      <c r="C43" s="77"/>
      <c r="D43" s="78"/>
      <c r="E43" s="78"/>
      <c r="F43" s="78"/>
      <c r="G43" s="78"/>
      <c r="H43" s="78"/>
      <c r="I43" s="78"/>
      <c r="J43" s="79"/>
    </row>
    <row r="44" spans="1:10" ht="30" customHeight="1" x14ac:dyDescent="0.3">
      <c r="A44" s="71">
        <v>21</v>
      </c>
      <c r="B44" s="71" t="s">
        <v>48</v>
      </c>
      <c r="C44" s="9">
        <v>0.3</v>
      </c>
      <c r="D44" s="9">
        <v>0.3</v>
      </c>
      <c r="E44" s="9">
        <v>0.3</v>
      </c>
      <c r="F44" s="9">
        <v>0.3</v>
      </c>
      <c r="G44" s="9">
        <v>0.3</v>
      </c>
      <c r="H44" s="9">
        <v>0.3</v>
      </c>
      <c r="I44" s="9">
        <v>0.3</v>
      </c>
      <c r="J44" s="9">
        <v>0.5</v>
      </c>
    </row>
    <row r="45" spans="1:10" ht="65.099999999999994" customHeight="1" x14ac:dyDescent="0.3">
      <c r="A45" s="71"/>
      <c r="B45" s="71"/>
      <c r="C45" s="77"/>
      <c r="D45" s="78"/>
      <c r="E45" s="78"/>
      <c r="F45" s="78"/>
      <c r="G45" s="78"/>
      <c r="H45" s="78"/>
      <c r="I45" s="78"/>
      <c r="J45" s="79"/>
    </row>
    <row r="46" spans="1:10" ht="30" customHeight="1" x14ac:dyDescent="0.3">
      <c r="A46" s="71">
        <v>22</v>
      </c>
      <c r="B46" s="71" t="s">
        <v>64</v>
      </c>
      <c r="C46" s="9">
        <v>0.3</v>
      </c>
      <c r="D46" s="9">
        <v>0.3</v>
      </c>
      <c r="E46" s="9">
        <v>0.3</v>
      </c>
      <c r="F46" s="9">
        <v>0.3</v>
      </c>
      <c r="G46" s="9">
        <v>0.3</v>
      </c>
      <c r="H46" s="9">
        <v>0.3</v>
      </c>
      <c r="I46" s="9">
        <v>0.3</v>
      </c>
      <c r="J46" s="9">
        <v>0.3</v>
      </c>
    </row>
    <row r="47" spans="1:10" ht="65.099999999999994" customHeight="1" x14ac:dyDescent="0.3">
      <c r="A47" s="71"/>
      <c r="B47" s="71"/>
      <c r="C47" s="77"/>
      <c r="D47" s="78"/>
      <c r="E47" s="78"/>
      <c r="F47" s="78"/>
      <c r="G47" s="78"/>
      <c r="H47" s="78"/>
      <c r="I47" s="78"/>
      <c r="J47" s="79"/>
    </row>
    <row r="48" spans="1:10" ht="30" customHeight="1" x14ac:dyDescent="0.3">
      <c r="A48" s="71">
        <v>23</v>
      </c>
      <c r="B48" s="71" t="s">
        <v>65</v>
      </c>
      <c r="C48" s="9">
        <v>0.3</v>
      </c>
      <c r="D48" s="9">
        <v>0.3</v>
      </c>
      <c r="E48" s="9">
        <v>0.3</v>
      </c>
      <c r="F48" s="9">
        <v>0.3</v>
      </c>
      <c r="G48" s="9">
        <v>0.3</v>
      </c>
      <c r="H48" s="9">
        <v>0.3</v>
      </c>
      <c r="I48" s="9">
        <v>0.3</v>
      </c>
      <c r="J48" s="9">
        <v>0.3</v>
      </c>
    </row>
    <row r="49" spans="1:10" ht="65.099999999999994" customHeight="1" x14ac:dyDescent="0.3">
      <c r="A49" s="71"/>
      <c r="B49" s="71"/>
      <c r="C49" s="77"/>
      <c r="D49" s="78"/>
      <c r="E49" s="78"/>
      <c r="F49" s="78"/>
      <c r="G49" s="78"/>
      <c r="H49" s="78"/>
      <c r="I49" s="78"/>
      <c r="J49" s="79"/>
    </row>
    <row r="50" spans="1:10" ht="30" customHeight="1" x14ac:dyDescent="0.3">
      <c r="A50" s="71">
        <v>24</v>
      </c>
      <c r="B50" s="71" t="s">
        <v>66</v>
      </c>
      <c r="C50" s="9">
        <v>0.3</v>
      </c>
      <c r="D50" s="9">
        <v>0.3</v>
      </c>
      <c r="E50" s="9">
        <v>0.3</v>
      </c>
      <c r="F50" s="9">
        <v>0.3</v>
      </c>
      <c r="G50" s="9">
        <v>0.3</v>
      </c>
      <c r="H50" s="9">
        <v>0.3</v>
      </c>
      <c r="I50" s="9">
        <v>0.3</v>
      </c>
      <c r="J50" s="9">
        <v>0.3</v>
      </c>
    </row>
    <row r="51" spans="1:10" ht="65.099999999999994" customHeight="1" x14ac:dyDescent="0.3">
      <c r="A51" s="71"/>
      <c r="B51" s="71"/>
      <c r="C51" s="77"/>
      <c r="D51" s="78"/>
      <c r="E51" s="78"/>
      <c r="F51" s="78"/>
      <c r="G51" s="78"/>
      <c r="H51" s="78"/>
      <c r="I51" s="78"/>
      <c r="J51" s="79"/>
    </row>
    <row r="52" spans="1:10" ht="30" customHeight="1" x14ac:dyDescent="0.3">
      <c r="A52" s="71">
        <v>25</v>
      </c>
      <c r="B52" s="71" t="s">
        <v>67</v>
      </c>
      <c r="C52" s="9">
        <v>0.3</v>
      </c>
      <c r="D52" s="9">
        <v>0.3</v>
      </c>
      <c r="E52" s="9">
        <v>0.3</v>
      </c>
      <c r="F52" s="9">
        <v>0.3</v>
      </c>
      <c r="G52" s="9">
        <v>0.3</v>
      </c>
      <c r="H52" s="9">
        <v>0.3</v>
      </c>
      <c r="I52" s="9">
        <v>0.3</v>
      </c>
      <c r="J52" s="9">
        <v>0.48</v>
      </c>
    </row>
    <row r="53" spans="1:10" ht="65.099999999999994" customHeight="1" x14ac:dyDescent="0.3">
      <c r="A53" s="71"/>
      <c r="B53" s="71"/>
      <c r="C53" s="77"/>
      <c r="D53" s="78"/>
      <c r="E53" s="78"/>
      <c r="F53" s="78"/>
      <c r="G53" s="78"/>
      <c r="H53" s="78"/>
      <c r="I53" s="78"/>
      <c r="J53" s="79"/>
    </row>
    <row r="54" spans="1:10" ht="30" customHeight="1" x14ac:dyDescent="0.3">
      <c r="A54" s="71">
        <v>26</v>
      </c>
      <c r="B54" s="71" t="s">
        <v>68</v>
      </c>
      <c r="C54" s="9">
        <v>0.3</v>
      </c>
      <c r="D54" s="9">
        <v>0.3</v>
      </c>
      <c r="E54" s="9">
        <v>0.3</v>
      </c>
      <c r="F54" s="9">
        <v>0.3</v>
      </c>
      <c r="G54" s="9">
        <v>0.3</v>
      </c>
      <c r="H54" s="9">
        <v>0.3</v>
      </c>
      <c r="I54" s="9">
        <v>0.3</v>
      </c>
      <c r="J54" s="9">
        <v>0.55000000000000004</v>
      </c>
    </row>
    <row r="55" spans="1:10" ht="65.099999999999994" customHeight="1" x14ac:dyDescent="0.3">
      <c r="A55" s="71"/>
      <c r="B55" s="71"/>
      <c r="C55" s="77"/>
      <c r="D55" s="78"/>
      <c r="E55" s="78"/>
      <c r="F55" s="78"/>
      <c r="G55" s="78"/>
      <c r="H55" s="78"/>
      <c r="I55" s="78"/>
      <c r="J55" s="79"/>
    </row>
    <row r="56" spans="1:10" ht="30" customHeight="1" x14ac:dyDescent="0.3">
      <c r="A56" s="71">
        <v>27</v>
      </c>
      <c r="B56" s="71" t="s">
        <v>69</v>
      </c>
      <c r="C56" s="9">
        <v>0.3</v>
      </c>
      <c r="D56" s="9">
        <v>0.3</v>
      </c>
      <c r="E56" s="9">
        <v>0.3</v>
      </c>
      <c r="F56" s="9">
        <v>0.3</v>
      </c>
      <c r="G56" s="9">
        <v>0.3</v>
      </c>
      <c r="H56" s="9">
        <v>0.3</v>
      </c>
      <c r="I56" s="9">
        <v>0.3</v>
      </c>
      <c r="J56" s="9">
        <v>0.55000000000000004</v>
      </c>
    </row>
    <row r="57" spans="1:10" ht="65.099999999999994" customHeight="1" x14ac:dyDescent="0.3">
      <c r="A57" s="71"/>
      <c r="B57" s="71"/>
      <c r="C57" s="77"/>
      <c r="D57" s="78"/>
      <c r="E57" s="78"/>
      <c r="F57" s="78"/>
      <c r="G57" s="78"/>
      <c r="H57" s="78"/>
      <c r="I57" s="78"/>
      <c r="J57" s="79"/>
    </row>
    <row r="58" spans="1:10" ht="30" customHeight="1" x14ac:dyDescent="0.3">
      <c r="A58" s="71">
        <v>28</v>
      </c>
      <c r="B58" s="71" t="s">
        <v>70</v>
      </c>
      <c r="C58" s="9">
        <v>0.3</v>
      </c>
      <c r="D58" s="9">
        <v>0.3</v>
      </c>
      <c r="E58" s="9">
        <v>0.3</v>
      </c>
      <c r="F58" s="9">
        <v>0.3</v>
      </c>
      <c r="G58" s="9">
        <v>0.3</v>
      </c>
      <c r="H58" s="9">
        <v>0.3</v>
      </c>
      <c r="I58" s="9">
        <v>0.3</v>
      </c>
      <c r="J58" s="9">
        <v>0.3</v>
      </c>
    </row>
    <row r="59" spans="1:10" ht="65.099999999999994" customHeight="1" x14ac:dyDescent="0.3">
      <c r="A59" s="71"/>
      <c r="B59" s="71"/>
      <c r="C59" s="77"/>
      <c r="D59" s="78"/>
      <c r="E59" s="78"/>
      <c r="F59" s="78"/>
      <c r="G59" s="78"/>
      <c r="H59" s="78"/>
      <c r="I59" s="78"/>
      <c r="J59" s="79"/>
    </row>
    <row r="60" spans="1:10" ht="30" customHeight="1" x14ac:dyDescent="0.3">
      <c r="A60" s="71">
        <v>29</v>
      </c>
      <c r="B60" s="71" t="s">
        <v>71</v>
      </c>
      <c r="C60" s="9">
        <v>0.3</v>
      </c>
      <c r="D60" s="9">
        <v>0.3</v>
      </c>
      <c r="E60" s="9">
        <v>0.3</v>
      </c>
      <c r="F60" s="9">
        <v>0.3</v>
      </c>
      <c r="G60" s="9">
        <v>0.3</v>
      </c>
      <c r="H60" s="9">
        <v>0.3</v>
      </c>
      <c r="I60" s="9">
        <v>0.3</v>
      </c>
      <c r="J60" s="9">
        <v>0.3</v>
      </c>
    </row>
    <row r="61" spans="1:10" ht="65.099999999999994" customHeight="1" x14ac:dyDescent="0.3">
      <c r="A61" s="71"/>
      <c r="B61" s="71"/>
      <c r="C61" s="77"/>
      <c r="D61" s="78"/>
      <c r="E61" s="78"/>
      <c r="F61" s="78"/>
      <c r="G61" s="78"/>
      <c r="H61" s="78"/>
      <c r="I61" s="78"/>
      <c r="J61" s="79"/>
    </row>
    <row r="62" spans="1:10" ht="30" customHeight="1" x14ac:dyDescent="0.3">
      <c r="A62" s="71">
        <v>30</v>
      </c>
      <c r="B62" s="71" t="s">
        <v>72</v>
      </c>
      <c r="C62" s="9">
        <v>0.3</v>
      </c>
      <c r="D62" s="9">
        <v>0.3</v>
      </c>
      <c r="E62" s="9">
        <v>0.3</v>
      </c>
      <c r="F62" s="9">
        <v>0.3</v>
      </c>
      <c r="G62" s="9">
        <v>0.3</v>
      </c>
      <c r="H62" s="9">
        <v>0.3</v>
      </c>
      <c r="I62" s="9">
        <v>0.3</v>
      </c>
      <c r="J62" s="9">
        <v>0.3</v>
      </c>
    </row>
    <row r="63" spans="1:10" ht="65.099999999999994" customHeight="1" x14ac:dyDescent="0.3">
      <c r="A63" s="71"/>
      <c r="B63" s="71"/>
      <c r="C63" s="77"/>
      <c r="D63" s="78"/>
      <c r="E63" s="78"/>
      <c r="F63" s="78"/>
      <c r="G63" s="78"/>
      <c r="H63" s="78"/>
      <c r="I63" s="78"/>
      <c r="J63" s="79"/>
    </row>
    <row r="64" spans="1:10" ht="30" customHeight="1" x14ac:dyDescent="0.3">
      <c r="A64" s="71">
        <v>31</v>
      </c>
      <c r="B64" s="71" t="s">
        <v>77</v>
      </c>
      <c r="C64" s="9">
        <v>0.3</v>
      </c>
      <c r="D64" s="9">
        <v>0.3</v>
      </c>
      <c r="E64" s="9">
        <v>0.3</v>
      </c>
      <c r="F64" s="9">
        <v>0.3</v>
      </c>
      <c r="G64" s="9">
        <v>0.3</v>
      </c>
      <c r="H64" s="9">
        <v>0.3</v>
      </c>
      <c r="I64" s="9">
        <v>0.3</v>
      </c>
      <c r="J64" s="9">
        <v>0.3</v>
      </c>
    </row>
    <row r="65" spans="1:10" ht="65.099999999999994" customHeight="1" x14ac:dyDescent="0.3">
      <c r="A65" s="71"/>
      <c r="B65" s="71"/>
      <c r="C65" s="77"/>
      <c r="D65" s="78"/>
      <c r="E65" s="78"/>
      <c r="F65" s="78"/>
      <c r="G65" s="78"/>
      <c r="H65" s="78"/>
      <c r="I65" s="78"/>
      <c r="J65" s="79"/>
    </row>
    <row r="66" spans="1:10" ht="30" customHeight="1" x14ac:dyDescent="0.3">
      <c r="A66" s="71">
        <v>32</v>
      </c>
      <c r="B66" s="71" t="s">
        <v>88</v>
      </c>
      <c r="C66" s="9">
        <v>0.3</v>
      </c>
      <c r="D66" s="9">
        <v>0.3</v>
      </c>
      <c r="E66" s="9">
        <v>0.3</v>
      </c>
      <c r="F66" s="9">
        <v>0.3</v>
      </c>
      <c r="G66" s="9">
        <v>0.3</v>
      </c>
      <c r="H66" s="9">
        <v>0.3</v>
      </c>
      <c r="I66" s="9">
        <v>0.3</v>
      </c>
      <c r="J66" s="9">
        <v>0.3</v>
      </c>
    </row>
    <row r="67" spans="1:10" ht="65.099999999999994" customHeight="1" x14ac:dyDescent="0.3">
      <c r="A67" s="71"/>
      <c r="B67" s="71"/>
      <c r="C67" s="77"/>
      <c r="D67" s="78"/>
      <c r="E67" s="78"/>
      <c r="F67" s="78"/>
      <c r="G67" s="78"/>
      <c r="H67" s="78"/>
      <c r="I67" s="78"/>
      <c r="J67" s="79"/>
    </row>
    <row r="68" spans="1:10" ht="30" customHeight="1" x14ac:dyDescent="0.3">
      <c r="A68" s="71">
        <v>33</v>
      </c>
      <c r="B68" s="71" t="s">
        <v>89</v>
      </c>
      <c r="C68" s="9">
        <v>0.3</v>
      </c>
      <c r="D68" s="9">
        <v>0.3</v>
      </c>
      <c r="E68" s="9">
        <v>0.3</v>
      </c>
      <c r="F68" s="9">
        <v>0.3</v>
      </c>
      <c r="G68" s="9">
        <v>0.3</v>
      </c>
      <c r="H68" s="9">
        <v>0.3</v>
      </c>
      <c r="I68" s="9">
        <v>0.3</v>
      </c>
      <c r="J68" s="9">
        <v>0.3</v>
      </c>
    </row>
    <row r="69" spans="1:10" ht="65.099999999999994" customHeight="1" x14ac:dyDescent="0.3">
      <c r="A69" s="71"/>
      <c r="B69" s="71"/>
      <c r="C69" s="77"/>
      <c r="D69" s="78"/>
      <c r="E69" s="78"/>
      <c r="F69" s="78"/>
      <c r="G69" s="78"/>
      <c r="H69" s="78"/>
      <c r="I69" s="78"/>
      <c r="J69" s="79"/>
    </row>
    <row r="70" spans="1:10" ht="30" customHeight="1" x14ac:dyDescent="0.3">
      <c r="A70" s="71">
        <v>34</v>
      </c>
      <c r="B70" s="71" t="s">
        <v>90</v>
      </c>
      <c r="C70" s="9">
        <v>0.3</v>
      </c>
      <c r="D70" s="9">
        <v>0.3</v>
      </c>
      <c r="E70" s="9">
        <v>0.3</v>
      </c>
      <c r="F70" s="9">
        <v>0.3</v>
      </c>
      <c r="G70" s="9">
        <v>0.3</v>
      </c>
      <c r="H70" s="9">
        <v>0.3</v>
      </c>
      <c r="I70" s="9">
        <v>0.3</v>
      </c>
      <c r="J70" s="9">
        <v>0.3</v>
      </c>
    </row>
    <row r="71" spans="1:10" ht="65.099999999999994" customHeight="1" x14ac:dyDescent="0.3">
      <c r="A71" s="71"/>
      <c r="B71" s="71"/>
      <c r="C71" s="77"/>
      <c r="D71" s="78"/>
      <c r="E71" s="78"/>
      <c r="F71" s="78"/>
      <c r="G71" s="78"/>
      <c r="H71" s="78"/>
      <c r="I71" s="78"/>
      <c r="J71" s="79"/>
    </row>
    <row r="72" spans="1:10" ht="30" customHeight="1" x14ac:dyDescent="0.3">
      <c r="A72" s="71">
        <v>35</v>
      </c>
      <c r="B72" s="71" t="s">
        <v>91</v>
      </c>
      <c r="C72" s="9">
        <v>0.3</v>
      </c>
      <c r="D72" s="9">
        <v>0.3</v>
      </c>
      <c r="E72" s="9">
        <v>0.3</v>
      </c>
      <c r="F72" s="9">
        <v>0.3</v>
      </c>
      <c r="G72" s="9">
        <v>0.3</v>
      </c>
      <c r="H72" s="9">
        <v>0.3</v>
      </c>
      <c r="I72" s="9">
        <v>0.3</v>
      </c>
      <c r="J72" s="9">
        <v>0.3</v>
      </c>
    </row>
    <row r="73" spans="1:10" ht="65.099999999999994" customHeight="1" x14ac:dyDescent="0.3">
      <c r="A73" s="71"/>
      <c r="B73" s="71"/>
      <c r="C73" s="77"/>
      <c r="D73" s="78"/>
      <c r="E73" s="78"/>
      <c r="F73" s="78"/>
      <c r="G73" s="78"/>
      <c r="H73" s="78"/>
      <c r="I73" s="78"/>
      <c r="J73" s="79"/>
    </row>
    <row r="74" spans="1:10" ht="30" customHeight="1" x14ac:dyDescent="0.3">
      <c r="A74" s="71">
        <v>36</v>
      </c>
      <c r="B74" s="71" t="s">
        <v>92</v>
      </c>
      <c r="C74" s="9">
        <v>0.3</v>
      </c>
      <c r="D74" s="9">
        <v>0.3</v>
      </c>
      <c r="E74" s="9">
        <v>0.3</v>
      </c>
      <c r="F74" s="9">
        <v>0.3</v>
      </c>
      <c r="G74" s="9">
        <v>0.3</v>
      </c>
      <c r="H74" s="9">
        <v>0.3</v>
      </c>
      <c r="I74" s="9">
        <v>0.3</v>
      </c>
      <c r="J74" s="9">
        <v>0.3</v>
      </c>
    </row>
    <row r="75" spans="1:10" ht="65.099999999999994" customHeight="1" x14ac:dyDescent="0.3">
      <c r="A75" s="71"/>
      <c r="B75" s="71"/>
      <c r="C75" s="77"/>
      <c r="D75" s="78"/>
      <c r="E75" s="78"/>
      <c r="F75" s="78"/>
      <c r="G75" s="78"/>
      <c r="H75" s="78"/>
      <c r="I75" s="78"/>
      <c r="J75" s="79"/>
    </row>
    <row r="76" spans="1:10" ht="30" customHeight="1" x14ac:dyDescent="0.3">
      <c r="A76" s="71">
        <v>37</v>
      </c>
      <c r="B76" s="71" t="s">
        <v>96</v>
      </c>
      <c r="C76" s="9">
        <v>0.3</v>
      </c>
      <c r="D76" s="9">
        <v>0.3</v>
      </c>
      <c r="E76" s="9">
        <v>0.3</v>
      </c>
      <c r="F76" s="9">
        <v>0.3</v>
      </c>
      <c r="G76" s="9">
        <v>0.3</v>
      </c>
      <c r="H76" s="9">
        <v>0.3</v>
      </c>
      <c r="I76" s="9">
        <v>0.3</v>
      </c>
      <c r="J76" s="9">
        <v>0.3</v>
      </c>
    </row>
    <row r="77" spans="1:10" ht="65.099999999999994" customHeight="1" x14ac:dyDescent="0.3">
      <c r="A77" s="71"/>
      <c r="B77" s="71"/>
      <c r="C77" s="77"/>
      <c r="D77" s="78"/>
      <c r="E77" s="78"/>
      <c r="F77" s="78"/>
      <c r="G77" s="78"/>
      <c r="H77" s="78"/>
      <c r="I77" s="78"/>
      <c r="J77" s="79"/>
    </row>
    <row r="78" spans="1:10" ht="30" customHeight="1" x14ac:dyDescent="0.3">
      <c r="A78" s="71">
        <v>38</v>
      </c>
      <c r="B78" s="71" t="s">
        <v>99</v>
      </c>
      <c r="C78" s="9">
        <v>0.3</v>
      </c>
      <c r="D78" s="9">
        <v>0.3</v>
      </c>
      <c r="E78" s="9">
        <v>0.3</v>
      </c>
      <c r="F78" s="9">
        <v>0.3</v>
      </c>
      <c r="G78" s="9">
        <v>0.3</v>
      </c>
      <c r="H78" s="9">
        <v>0.3</v>
      </c>
      <c r="I78" s="9">
        <v>0.3</v>
      </c>
      <c r="J78" s="9">
        <v>0.3</v>
      </c>
    </row>
    <row r="79" spans="1:10" ht="65.099999999999994" customHeight="1" x14ac:dyDescent="0.3">
      <c r="A79" s="71"/>
      <c r="B79" s="71"/>
      <c r="C79" s="77"/>
      <c r="D79" s="78"/>
      <c r="E79" s="78"/>
      <c r="F79" s="78"/>
      <c r="G79" s="78"/>
      <c r="H79" s="78"/>
      <c r="I79" s="78"/>
      <c r="J79" s="79"/>
    </row>
    <row r="80" spans="1:10" ht="30" customHeight="1" x14ac:dyDescent="0.3">
      <c r="A80" s="71">
        <v>39</v>
      </c>
      <c r="B80" s="71" t="s">
        <v>102</v>
      </c>
      <c r="C80" s="9">
        <v>0.3</v>
      </c>
      <c r="D80" s="9">
        <v>0.3</v>
      </c>
      <c r="E80" s="9">
        <v>0.3</v>
      </c>
      <c r="F80" s="9">
        <v>0.3</v>
      </c>
      <c r="G80" s="9">
        <v>0.3</v>
      </c>
      <c r="H80" s="9">
        <v>0.3</v>
      </c>
      <c r="I80" s="9">
        <v>0.3</v>
      </c>
      <c r="J80" s="9">
        <v>0.3</v>
      </c>
    </row>
    <row r="81" spans="1:12" ht="65.099999999999994" customHeight="1" x14ac:dyDescent="0.3">
      <c r="A81" s="71"/>
      <c r="B81" s="71"/>
      <c r="C81" s="77"/>
      <c r="D81" s="78"/>
      <c r="E81" s="78"/>
      <c r="F81" s="78"/>
      <c r="G81" s="78"/>
      <c r="H81" s="78"/>
      <c r="I81" s="78"/>
      <c r="J81" s="79"/>
    </row>
    <row r="82" spans="1:12" ht="30" customHeight="1" x14ac:dyDescent="0.3">
      <c r="A82" s="71">
        <v>40</v>
      </c>
      <c r="B82" s="71" t="s">
        <v>108</v>
      </c>
      <c r="C82" s="9">
        <v>0.3</v>
      </c>
      <c r="D82" s="9">
        <v>0.3</v>
      </c>
      <c r="E82" s="9">
        <v>0.3</v>
      </c>
      <c r="F82" s="9">
        <v>0.3</v>
      </c>
      <c r="G82" s="9">
        <v>0.3</v>
      </c>
      <c r="H82" s="9">
        <v>0.3</v>
      </c>
      <c r="I82" s="9">
        <v>0.3</v>
      </c>
      <c r="J82" s="9">
        <v>0.3</v>
      </c>
    </row>
    <row r="83" spans="1:12" ht="65.099999999999994" customHeight="1" x14ac:dyDescent="0.3">
      <c r="A83" s="71"/>
      <c r="B83" s="71"/>
      <c r="C83" s="77"/>
      <c r="D83" s="78"/>
      <c r="E83" s="78"/>
      <c r="F83" s="78"/>
      <c r="G83" s="78"/>
      <c r="H83" s="78"/>
      <c r="I83" s="78"/>
      <c r="J83" s="79"/>
    </row>
    <row r="84" spans="1:12" ht="30" customHeight="1" x14ac:dyDescent="0.3">
      <c r="A84" s="71">
        <v>41</v>
      </c>
      <c r="B84" s="71" t="s">
        <v>117</v>
      </c>
      <c r="C84" s="9">
        <v>0.3</v>
      </c>
      <c r="D84" s="9">
        <v>0.3</v>
      </c>
      <c r="E84" s="9">
        <v>0.3</v>
      </c>
      <c r="F84" s="9">
        <v>0.3</v>
      </c>
      <c r="G84" s="9">
        <v>0.3</v>
      </c>
      <c r="H84" s="9">
        <v>0.3</v>
      </c>
      <c r="I84" s="9">
        <v>0.3</v>
      </c>
      <c r="J84" s="9">
        <v>0.3</v>
      </c>
    </row>
    <row r="85" spans="1:12" ht="65.099999999999994" customHeight="1" x14ac:dyDescent="0.3">
      <c r="A85" s="71"/>
      <c r="B85" s="71"/>
      <c r="C85" s="77"/>
      <c r="D85" s="78"/>
      <c r="E85" s="78"/>
      <c r="F85" s="78"/>
      <c r="G85" s="78"/>
      <c r="H85" s="78"/>
      <c r="I85" s="78"/>
      <c r="J85" s="79"/>
    </row>
    <row r="86" spans="1:12" ht="30" customHeight="1" x14ac:dyDescent="0.3">
      <c r="A86" s="71">
        <v>42</v>
      </c>
      <c r="B86" s="71" t="s">
        <v>118</v>
      </c>
      <c r="C86" s="9">
        <v>0.3</v>
      </c>
      <c r="D86" s="9">
        <v>0.3</v>
      </c>
      <c r="E86" s="9">
        <v>0.3</v>
      </c>
      <c r="F86" s="9">
        <v>0.3</v>
      </c>
      <c r="G86" s="9">
        <v>0.3</v>
      </c>
      <c r="H86" s="9">
        <v>0.3</v>
      </c>
      <c r="I86" s="9">
        <v>0.3</v>
      </c>
      <c r="J86" s="9">
        <v>0.3</v>
      </c>
    </row>
    <row r="87" spans="1:12" ht="65.099999999999994" customHeight="1" x14ac:dyDescent="0.3">
      <c r="A87" s="71"/>
      <c r="B87" s="71"/>
      <c r="C87" s="77"/>
      <c r="D87" s="78"/>
      <c r="E87" s="78"/>
      <c r="F87" s="78"/>
      <c r="G87" s="78"/>
      <c r="H87" s="78"/>
      <c r="I87" s="78"/>
      <c r="J87" s="79"/>
    </row>
    <row r="88" spans="1:12" ht="30" customHeight="1" x14ac:dyDescent="0.3">
      <c r="A88" s="71">
        <v>43</v>
      </c>
      <c r="B88" s="71" t="s">
        <v>119</v>
      </c>
      <c r="C88" s="9">
        <v>0.3</v>
      </c>
      <c r="D88" s="9">
        <v>0.3</v>
      </c>
      <c r="E88" s="9">
        <v>0.3</v>
      </c>
      <c r="F88" s="9">
        <v>0.3</v>
      </c>
      <c r="G88" s="9">
        <v>0.3</v>
      </c>
      <c r="H88" s="9">
        <v>0.3</v>
      </c>
      <c r="I88" s="9">
        <v>0.3</v>
      </c>
      <c r="J88" s="9">
        <v>0.3</v>
      </c>
    </row>
    <row r="89" spans="1:12" ht="65.099999999999994" customHeight="1" x14ac:dyDescent="0.3">
      <c r="A89" s="71"/>
      <c r="B89" s="71"/>
      <c r="C89" s="77"/>
      <c r="D89" s="78"/>
      <c r="E89" s="78"/>
      <c r="F89" s="78"/>
      <c r="G89" s="78"/>
      <c r="H89" s="78"/>
      <c r="I89" s="78"/>
      <c r="J89" s="79"/>
    </row>
    <row r="90" spans="1:12" ht="30" customHeight="1" x14ac:dyDescent="0.3">
      <c r="A90" s="71">
        <v>44</v>
      </c>
      <c r="B90" s="71" t="s">
        <v>120</v>
      </c>
      <c r="C90" s="9">
        <v>0.3</v>
      </c>
      <c r="D90" s="9">
        <v>0.3</v>
      </c>
      <c r="E90" s="9">
        <v>0.3</v>
      </c>
      <c r="F90" s="9">
        <v>0.3</v>
      </c>
      <c r="G90" s="9">
        <v>0.3</v>
      </c>
      <c r="H90" s="9">
        <v>0.3</v>
      </c>
      <c r="I90" s="9">
        <v>0.3</v>
      </c>
      <c r="J90" s="9">
        <v>0.3</v>
      </c>
    </row>
    <row r="91" spans="1:12" ht="65.099999999999994" customHeight="1" x14ac:dyDescent="0.3">
      <c r="A91" s="71"/>
      <c r="B91" s="71"/>
      <c r="C91" s="77"/>
      <c r="D91" s="78"/>
      <c r="E91" s="78"/>
      <c r="F91" s="78"/>
      <c r="G91" s="78"/>
      <c r="H91" s="78"/>
      <c r="I91" s="78"/>
      <c r="J91" s="79"/>
    </row>
    <row r="92" spans="1:12" ht="30" customHeight="1" x14ac:dyDescent="0.3">
      <c r="A92" s="71">
        <v>45</v>
      </c>
      <c r="B92" s="71" t="s">
        <v>123</v>
      </c>
      <c r="C92" s="9">
        <v>0.3</v>
      </c>
      <c r="D92" s="9">
        <v>0.3</v>
      </c>
      <c r="E92" s="9">
        <v>0.3</v>
      </c>
      <c r="F92" s="9">
        <v>0.3</v>
      </c>
      <c r="G92" s="9">
        <v>0.3</v>
      </c>
      <c r="H92" s="9">
        <v>0.3</v>
      </c>
      <c r="I92" s="9">
        <v>0.3</v>
      </c>
      <c r="J92" s="9">
        <v>0.3</v>
      </c>
    </row>
    <row r="93" spans="1:12" ht="65.099999999999994" customHeight="1" x14ac:dyDescent="0.3">
      <c r="A93" s="71"/>
      <c r="B93" s="71"/>
      <c r="C93" s="77"/>
      <c r="D93" s="78"/>
      <c r="E93" s="78"/>
      <c r="F93" s="78"/>
      <c r="G93" s="78"/>
      <c r="H93" s="78"/>
      <c r="I93" s="78"/>
      <c r="J93" s="79"/>
    </row>
    <row r="94" spans="1:12" s="6" customFormat="1" x14ac:dyDescent="0.3">
      <c r="A94" s="2" t="s">
        <v>152</v>
      </c>
      <c r="C94"/>
      <c r="D94"/>
      <c r="E94"/>
      <c r="F94"/>
      <c r="G94"/>
      <c r="H94"/>
      <c r="I94"/>
      <c r="J94"/>
      <c r="K94"/>
      <c r="L94"/>
    </row>
    <row r="95" spans="1:12" s="6" customFormat="1" x14ac:dyDescent="0.3">
      <c r="A95" s="2" t="s">
        <v>153</v>
      </c>
      <c r="C95"/>
      <c r="D95"/>
      <c r="E95"/>
      <c r="F95"/>
      <c r="G95"/>
      <c r="H95"/>
      <c r="I95"/>
      <c r="J95"/>
      <c r="K95"/>
      <c r="L95"/>
    </row>
  </sheetData>
  <mergeCells count="136">
    <mergeCell ref="A92:A93"/>
    <mergeCell ref="B92:B93"/>
    <mergeCell ref="C93:J93"/>
    <mergeCell ref="A1:J1"/>
    <mergeCell ref="A88:A89"/>
    <mergeCell ref="B88:B89"/>
    <mergeCell ref="C89:J89"/>
    <mergeCell ref="A90:A91"/>
    <mergeCell ref="B90:B91"/>
    <mergeCell ref="C91:J91"/>
    <mergeCell ref="A84:A85"/>
    <mergeCell ref="B84:B85"/>
    <mergeCell ref="C85:J85"/>
    <mergeCell ref="A86:A87"/>
    <mergeCell ref="B86:B87"/>
    <mergeCell ref="C87:J87"/>
    <mergeCell ref="A80:A81"/>
    <mergeCell ref="B80:B81"/>
    <mergeCell ref="C81:J81"/>
    <mergeCell ref="A82:A83"/>
    <mergeCell ref="B82:B83"/>
    <mergeCell ref="C83:J83"/>
    <mergeCell ref="A76:A77"/>
    <mergeCell ref="B76:B77"/>
    <mergeCell ref="C77:J77"/>
    <mergeCell ref="A78:A79"/>
    <mergeCell ref="B78:B79"/>
    <mergeCell ref="C79:J79"/>
    <mergeCell ref="A72:A73"/>
    <mergeCell ref="B72:B73"/>
    <mergeCell ref="C73:J73"/>
    <mergeCell ref="A74:A75"/>
    <mergeCell ref="B74:B75"/>
    <mergeCell ref="C75:J75"/>
    <mergeCell ref="A68:A69"/>
    <mergeCell ref="B68:B69"/>
    <mergeCell ref="C69:J69"/>
    <mergeCell ref="A70:A71"/>
    <mergeCell ref="B70:B71"/>
    <mergeCell ref="C71:J71"/>
    <mergeCell ref="A64:A65"/>
    <mergeCell ref="B64:B65"/>
    <mergeCell ref="C65:J65"/>
    <mergeCell ref="A66:A67"/>
    <mergeCell ref="B66:B67"/>
    <mergeCell ref="C67:J67"/>
    <mergeCell ref="A60:A61"/>
    <mergeCell ref="B60:B61"/>
    <mergeCell ref="C61:J61"/>
    <mergeCell ref="A62:A63"/>
    <mergeCell ref="B62:B63"/>
    <mergeCell ref="C63:J63"/>
    <mergeCell ref="A56:A57"/>
    <mergeCell ref="B56:B57"/>
    <mergeCell ref="C57:J57"/>
    <mergeCell ref="A58:A59"/>
    <mergeCell ref="B58:B59"/>
    <mergeCell ref="C59:J59"/>
    <mergeCell ref="A52:A53"/>
    <mergeCell ref="B52:B53"/>
    <mergeCell ref="C53:J53"/>
    <mergeCell ref="A54:A55"/>
    <mergeCell ref="B54:B55"/>
    <mergeCell ref="C55:J55"/>
    <mergeCell ref="A48:A49"/>
    <mergeCell ref="B48:B49"/>
    <mergeCell ref="C49:J49"/>
    <mergeCell ref="A50:A51"/>
    <mergeCell ref="B50:B51"/>
    <mergeCell ref="C51:J51"/>
    <mergeCell ref="A44:A45"/>
    <mergeCell ref="B44:B45"/>
    <mergeCell ref="C45:J45"/>
    <mergeCell ref="A46:A47"/>
    <mergeCell ref="B46:B47"/>
    <mergeCell ref="C47:J47"/>
    <mergeCell ref="A40:A41"/>
    <mergeCell ref="B40:B41"/>
    <mergeCell ref="C41:J41"/>
    <mergeCell ref="A42:A43"/>
    <mergeCell ref="B42:B43"/>
    <mergeCell ref="C43:J43"/>
    <mergeCell ref="A36:A37"/>
    <mergeCell ref="B36:B37"/>
    <mergeCell ref="C37:J37"/>
    <mergeCell ref="A38:A39"/>
    <mergeCell ref="B38:B39"/>
    <mergeCell ref="C39:J39"/>
    <mergeCell ref="A32:A33"/>
    <mergeCell ref="B32:B33"/>
    <mergeCell ref="C33:J33"/>
    <mergeCell ref="A34:A35"/>
    <mergeCell ref="B34:B35"/>
    <mergeCell ref="C35:J35"/>
    <mergeCell ref="A28:A29"/>
    <mergeCell ref="B28:B29"/>
    <mergeCell ref="C29:J29"/>
    <mergeCell ref="A30:A31"/>
    <mergeCell ref="B30:B31"/>
    <mergeCell ref="C31:J31"/>
    <mergeCell ref="A24:A25"/>
    <mergeCell ref="B24:B25"/>
    <mergeCell ref="C25:J25"/>
    <mergeCell ref="A26:A27"/>
    <mergeCell ref="B26:B27"/>
    <mergeCell ref="C27:J27"/>
    <mergeCell ref="A20:A21"/>
    <mergeCell ref="B20:B21"/>
    <mergeCell ref="C21:J21"/>
    <mergeCell ref="A22:A23"/>
    <mergeCell ref="B22:B23"/>
    <mergeCell ref="C23:J23"/>
    <mergeCell ref="A16:A17"/>
    <mergeCell ref="B16:B17"/>
    <mergeCell ref="C17:J17"/>
    <mergeCell ref="A18:A19"/>
    <mergeCell ref="B18:B19"/>
    <mergeCell ref="C19:J19"/>
    <mergeCell ref="A14:A15"/>
    <mergeCell ref="B14:B15"/>
    <mergeCell ref="C15:J15"/>
    <mergeCell ref="A8:A9"/>
    <mergeCell ref="B8:B9"/>
    <mergeCell ref="C9:J9"/>
    <mergeCell ref="A10:A11"/>
    <mergeCell ref="B10:B11"/>
    <mergeCell ref="C11:J11"/>
    <mergeCell ref="A4:A5"/>
    <mergeCell ref="B4:B5"/>
    <mergeCell ref="C5:J5"/>
    <mergeCell ref="A6:A7"/>
    <mergeCell ref="B6:B7"/>
    <mergeCell ref="C7:J7"/>
    <mergeCell ref="A12:A13"/>
    <mergeCell ref="B12:B13"/>
    <mergeCell ref="C13:J13"/>
  </mergeCells>
  <pageMargins left="0.39370078740157483" right="0.70866141732283472" top="0.27559055118110237" bottom="0.27559055118110237" header="0.31496062992125984" footer="0.31496062992125984"/>
  <pageSetup paperSize="9" scale="60" orientation="landscape" r:id="rId1"/>
  <extLst>
    <ext xmlns:x14="http://schemas.microsoft.com/office/spreadsheetml/2009/9/main" uri="{05C60535-1F16-4fd2-B633-F4F36F0B64E0}">
      <x14:sparklineGroups xmlns:xm="http://schemas.microsoft.com/office/excel/2006/main">
        <x14:sparklineGroup manualMax="0.60000000000000009" manualMin="0" lineWeight="2.25" displayEmptyCellsAs="gap" minAxisType="custom" maxAxisType="custom" xr2:uid="{00000000-0003-0000-0500-00008F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Odpis_fundusz_remontowy_dźwigi!C92:J92</xm:f>
              <xm:sqref>C93</xm:sqref>
            </x14:sparkline>
          </x14:sparklines>
        </x14:sparklineGroup>
        <x14:sparklineGroup manualMax="0.60000000000000009" manualMin="0" lineWeight="2.25" displayEmptyCellsAs="gap" minAxisType="custom" maxAxisType="custom" xr2:uid="{00000000-0003-0000-0500-00008E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Odpis_fundusz_remontowy_dźwigi!C90:J90</xm:f>
              <xm:sqref>C91</xm:sqref>
            </x14:sparkline>
          </x14:sparklines>
        </x14:sparklineGroup>
        <x14:sparklineGroup manualMax="0.60000000000000009" manualMin="0" lineWeight="2.25" displayEmptyCellsAs="gap" minAxisType="custom" maxAxisType="custom" xr2:uid="{00000000-0003-0000-0500-00008D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Odpis_fundusz_remontowy_dźwigi!C88:J88</xm:f>
              <xm:sqref>C89</xm:sqref>
            </x14:sparkline>
          </x14:sparklines>
        </x14:sparklineGroup>
        <x14:sparklineGroup manualMax="0.60000000000000009" manualMin="0" lineWeight="2.25" displayEmptyCellsAs="gap" minAxisType="custom" maxAxisType="custom" xr2:uid="{00000000-0003-0000-0500-00008C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Odpis_fundusz_remontowy_dźwigi!C86:J86</xm:f>
              <xm:sqref>C87</xm:sqref>
            </x14:sparkline>
          </x14:sparklines>
        </x14:sparklineGroup>
        <x14:sparklineGroup manualMax="0.60000000000000009" manualMin="0" lineWeight="2.25" displayEmptyCellsAs="gap" minAxisType="custom" maxAxisType="custom" xr2:uid="{00000000-0003-0000-0500-00008B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Odpis_fundusz_remontowy_dźwigi!C84:J84</xm:f>
              <xm:sqref>C85</xm:sqref>
            </x14:sparkline>
          </x14:sparklines>
        </x14:sparklineGroup>
        <x14:sparklineGroup manualMax="0.60000000000000009" manualMin="0" lineWeight="2.25" displayEmptyCellsAs="gap" minAxisType="custom" maxAxisType="custom" xr2:uid="{00000000-0003-0000-0500-00008A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Odpis_fundusz_remontowy_dźwigi!C82:J82</xm:f>
              <xm:sqref>C83</xm:sqref>
            </x14:sparkline>
          </x14:sparklines>
        </x14:sparklineGroup>
        <x14:sparklineGroup manualMax="0.60000000000000009" manualMin="0" lineWeight="2.25" displayEmptyCellsAs="gap" minAxisType="custom" maxAxisType="custom" xr2:uid="{00000000-0003-0000-0500-000089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Odpis_fundusz_remontowy_dźwigi!C80:J80</xm:f>
              <xm:sqref>C81</xm:sqref>
            </x14:sparkline>
          </x14:sparklines>
        </x14:sparklineGroup>
        <x14:sparklineGroup manualMax="0.60000000000000009" manualMin="0" lineWeight="2.25" displayEmptyCellsAs="gap" minAxisType="custom" maxAxisType="custom" xr2:uid="{00000000-0003-0000-0500-000088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Odpis_fundusz_remontowy_dźwigi!C78:J78</xm:f>
              <xm:sqref>C79</xm:sqref>
            </x14:sparkline>
          </x14:sparklines>
        </x14:sparklineGroup>
        <x14:sparklineGroup manualMax="0.60000000000000009" manualMin="0" lineWeight="2.25" displayEmptyCellsAs="gap" minAxisType="custom" maxAxisType="custom" xr2:uid="{00000000-0003-0000-0500-000087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Odpis_fundusz_remontowy_dźwigi!C76:J76</xm:f>
              <xm:sqref>C77</xm:sqref>
            </x14:sparkline>
          </x14:sparklines>
        </x14:sparklineGroup>
        <x14:sparklineGroup manualMax="0.60000000000000009" manualMin="0" lineWeight="2.25" displayEmptyCellsAs="gap" minAxisType="custom" maxAxisType="custom" xr2:uid="{00000000-0003-0000-0500-000086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Odpis_fundusz_remontowy_dźwigi!C74:J74</xm:f>
              <xm:sqref>C75</xm:sqref>
            </x14:sparkline>
          </x14:sparklines>
        </x14:sparklineGroup>
        <x14:sparklineGroup manualMax="0.60000000000000009" manualMin="0" lineWeight="2.25" displayEmptyCellsAs="gap" minAxisType="custom" maxAxisType="custom" xr2:uid="{00000000-0003-0000-0500-000085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Odpis_fundusz_remontowy_dźwigi!C72:J72</xm:f>
              <xm:sqref>C73</xm:sqref>
            </x14:sparkline>
          </x14:sparklines>
        </x14:sparklineGroup>
        <x14:sparklineGroup manualMax="0.60000000000000009" manualMin="0" lineWeight="2.25" displayEmptyCellsAs="gap" minAxisType="custom" maxAxisType="custom" xr2:uid="{00000000-0003-0000-0500-000084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Odpis_fundusz_remontowy_dźwigi!C70:J70</xm:f>
              <xm:sqref>C71</xm:sqref>
            </x14:sparkline>
          </x14:sparklines>
        </x14:sparklineGroup>
        <x14:sparklineGroup manualMax="0.60000000000000009" manualMin="0" lineWeight="2.25" displayEmptyCellsAs="gap" minAxisType="custom" maxAxisType="custom" xr2:uid="{00000000-0003-0000-0500-000083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Odpis_fundusz_remontowy_dźwigi!C68:J68</xm:f>
              <xm:sqref>C69</xm:sqref>
            </x14:sparkline>
          </x14:sparklines>
        </x14:sparklineGroup>
        <x14:sparklineGroup manualMax="0.60000000000000009" manualMin="0" lineWeight="2.25" displayEmptyCellsAs="gap" minAxisType="custom" maxAxisType="custom" xr2:uid="{00000000-0003-0000-0500-000082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Odpis_fundusz_remontowy_dźwigi!C66:J66</xm:f>
              <xm:sqref>C67</xm:sqref>
            </x14:sparkline>
          </x14:sparklines>
        </x14:sparklineGroup>
        <x14:sparklineGroup manualMax="0.60000000000000009" manualMin="0" lineWeight="2.25" displayEmptyCellsAs="gap" minAxisType="custom" maxAxisType="custom" xr2:uid="{00000000-0003-0000-0500-000081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Odpis_fundusz_remontowy_dźwigi!C64:J64</xm:f>
              <xm:sqref>C65</xm:sqref>
            </x14:sparkline>
          </x14:sparklines>
        </x14:sparklineGroup>
        <x14:sparklineGroup manualMax="0.60000000000000009" manualMin="0" lineWeight="2.25" displayEmptyCellsAs="gap" minAxisType="custom" maxAxisType="custom" xr2:uid="{00000000-0003-0000-0500-000080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Odpis_fundusz_remontowy_dźwigi!C62:J62</xm:f>
              <xm:sqref>C63</xm:sqref>
            </x14:sparkline>
          </x14:sparklines>
        </x14:sparklineGroup>
        <x14:sparklineGroup manualMax="0.60000000000000009" manualMin="0" lineWeight="2.25" displayEmptyCellsAs="gap" minAxisType="custom" maxAxisType="custom" xr2:uid="{00000000-0003-0000-0500-00007F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Odpis_fundusz_remontowy_dźwigi!C60:J60</xm:f>
              <xm:sqref>C61</xm:sqref>
            </x14:sparkline>
          </x14:sparklines>
        </x14:sparklineGroup>
        <x14:sparklineGroup manualMax="0.60000000000000009" manualMin="0" lineWeight="2.25" displayEmptyCellsAs="gap" minAxisType="custom" maxAxisType="custom" xr2:uid="{00000000-0003-0000-0500-00007E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Odpis_fundusz_remontowy_dźwigi!C58:J58</xm:f>
              <xm:sqref>C59</xm:sqref>
            </x14:sparkline>
          </x14:sparklines>
        </x14:sparklineGroup>
        <x14:sparklineGroup manualMax="0.60000000000000009" manualMin="0" lineWeight="2.25" displayEmptyCellsAs="gap" minAxisType="custom" maxAxisType="custom" xr2:uid="{00000000-0003-0000-0500-00007D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Odpis_fundusz_remontowy_dźwigi!C56:J56</xm:f>
              <xm:sqref>C57</xm:sqref>
            </x14:sparkline>
          </x14:sparklines>
        </x14:sparklineGroup>
        <x14:sparklineGroup manualMax="0.60000000000000009" manualMin="0" lineWeight="2.25" displayEmptyCellsAs="gap" minAxisType="custom" maxAxisType="custom" xr2:uid="{00000000-0003-0000-0500-00007C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Odpis_fundusz_remontowy_dźwigi!C54:J54</xm:f>
              <xm:sqref>C55</xm:sqref>
            </x14:sparkline>
          </x14:sparklines>
        </x14:sparklineGroup>
        <x14:sparklineGroup manualMax="0.60000000000000009" manualMin="0" lineWeight="2.25" displayEmptyCellsAs="gap" minAxisType="custom" maxAxisType="custom" xr2:uid="{00000000-0003-0000-0500-00007B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Odpis_fundusz_remontowy_dźwigi!C52:J52</xm:f>
              <xm:sqref>C53</xm:sqref>
            </x14:sparkline>
          </x14:sparklines>
        </x14:sparklineGroup>
        <x14:sparklineGroup manualMax="0.60000000000000009" manualMin="0" lineWeight="2.25" displayEmptyCellsAs="gap" minAxisType="custom" maxAxisType="custom" xr2:uid="{00000000-0003-0000-0500-00007A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Odpis_fundusz_remontowy_dźwigi!C50:J50</xm:f>
              <xm:sqref>C51</xm:sqref>
            </x14:sparkline>
          </x14:sparklines>
        </x14:sparklineGroup>
        <x14:sparklineGroup manualMax="0.60000000000000009" manualMin="0" lineWeight="2.25" displayEmptyCellsAs="gap" minAxisType="custom" maxAxisType="custom" xr2:uid="{00000000-0003-0000-0500-000079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Odpis_fundusz_remontowy_dźwigi!C48:J48</xm:f>
              <xm:sqref>C49</xm:sqref>
            </x14:sparkline>
          </x14:sparklines>
        </x14:sparklineGroup>
        <x14:sparklineGroup manualMax="0.60000000000000009" manualMin="0" lineWeight="2.25" displayEmptyCellsAs="gap" minAxisType="custom" maxAxisType="custom" xr2:uid="{00000000-0003-0000-0500-000078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Odpis_fundusz_remontowy_dźwigi!C46:J46</xm:f>
              <xm:sqref>C47</xm:sqref>
            </x14:sparkline>
          </x14:sparklines>
        </x14:sparklineGroup>
        <x14:sparklineGroup manualMax="0.60000000000000009" manualMin="0" lineWeight="2.25" displayEmptyCellsAs="gap" minAxisType="custom" maxAxisType="custom" xr2:uid="{00000000-0003-0000-0500-000077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Odpis_fundusz_remontowy_dźwigi!C44:J44</xm:f>
              <xm:sqref>C45</xm:sqref>
            </x14:sparkline>
          </x14:sparklines>
        </x14:sparklineGroup>
        <x14:sparklineGroup manualMax="0.60000000000000009" manualMin="0" lineWeight="2.25" displayEmptyCellsAs="gap" minAxisType="custom" maxAxisType="custom" xr2:uid="{00000000-0003-0000-0500-000076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Odpis_fundusz_remontowy_dźwigi!C42:J42</xm:f>
              <xm:sqref>C43</xm:sqref>
            </x14:sparkline>
          </x14:sparklines>
        </x14:sparklineGroup>
        <x14:sparklineGroup manualMax="0.60000000000000009" manualMin="0" lineWeight="2.25" displayEmptyCellsAs="gap" minAxisType="custom" maxAxisType="custom" xr2:uid="{00000000-0003-0000-0500-000075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Odpis_fundusz_remontowy_dźwigi!C40:J40</xm:f>
              <xm:sqref>C41</xm:sqref>
            </x14:sparkline>
          </x14:sparklines>
        </x14:sparklineGroup>
        <x14:sparklineGroup manualMax="0.60000000000000009" manualMin="0" lineWeight="2.25" displayEmptyCellsAs="gap" minAxisType="custom" maxAxisType="custom" xr2:uid="{00000000-0003-0000-0500-000074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Odpis_fundusz_remontowy_dźwigi!C38:J38</xm:f>
              <xm:sqref>C39</xm:sqref>
            </x14:sparkline>
          </x14:sparklines>
        </x14:sparklineGroup>
        <x14:sparklineGroup manualMax="0.60000000000000009" manualMin="0" lineWeight="2.25" displayEmptyCellsAs="gap" minAxisType="custom" maxAxisType="custom" xr2:uid="{00000000-0003-0000-0500-000073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Odpis_fundusz_remontowy_dźwigi!C36:J36</xm:f>
              <xm:sqref>C37</xm:sqref>
            </x14:sparkline>
          </x14:sparklines>
        </x14:sparklineGroup>
        <x14:sparklineGroup manualMax="0.60000000000000009" manualMin="0" lineWeight="2.25" displayEmptyCellsAs="gap" minAxisType="custom" maxAxisType="custom" xr2:uid="{00000000-0003-0000-0500-000072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Odpis_fundusz_remontowy_dźwigi!C34:J34</xm:f>
              <xm:sqref>C35</xm:sqref>
            </x14:sparkline>
          </x14:sparklines>
        </x14:sparklineGroup>
        <x14:sparklineGroup manualMax="0.60000000000000009" manualMin="0" lineWeight="2.25" displayEmptyCellsAs="gap" minAxisType="custom" maxAxisType="custom" xr2:uid="{00000000-0003-0000-0500-000071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Odpis_fundusz_remontowy_dźwigi!C32:J32</xm:f>
              <xm:sqref>C33</xm:sqref>
            </x14:sparkline>
          </x14:sparklines>
        </x14:sparklineGroup>
        <x14:sparklineGroup manualMax="0.60000000000000009" manualMin="0" lineWeight="2.25" displayEmptyCellsAs="gap" minAxisType="custom" maxAxisType="custom" xr2:uid="{00000000-0003-0000-0500-000070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Odpis_fundusz_remontowy_dźwigi!C30:J30</xm:f>
              <xm:sqref>C31</xm:sqref>
            </x14:sparkline>
          </x14:sparklines>
        </x14:sparklineGroup>
        <x14:sparklineGroup manualMax="0.60000000000000009" manualMin="0" lineWeight="2.25" displayEmptyCellsAs="gap" minAxisType="custom" maxAxisType="custom" xr2:uid="{00000000-0003-0000-0500-00006F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Odpis_fundusz_remontowy_dźwigi!C28:J28</xm:f>
              <xm:sqref>C29</xm:sqref>
            </x14:sparkline>
          </x14:sparklines>
        </x14:sparklineGroup>
        <x14:sparklineGroup manualMax="0.60000000000000009" manualMin="0" lineWeight="2.25" displayEmptyCellsAs="gap" minAxisType="custom" maxAxisType="custom" xr2:uid="{00000000-0003-0000-0500-00006E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Odpis_fundusz_remontowy_dźwigi!C26:J26</xm:f>
              <xm:sqref>C27</xm:sqref>
            </x14:sparkline>
          </x14:sparklines>
        </x14:sparklineGroup>
        <x14:sparklineGroup manualMax="0.60000000000000009" manualMin="0" lineWeight="2.25" displayEmptyCellsAs="gap" minAxisType="custom" maxAxisType="custom" xr2:uid="{00000000-0003-0000-0500-00006D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Odpis_fundusz_remontowy_dźwigi!C24:J24</xm:f>
              <xm:sqref>C25</xm:sqref>
            </x14:sparkline>
          </x14:sparklines>
        </x14:sparklineGroup>
        <x14:sparklineGroup manualMax="0.60000000000000009" manualMin="0" lineWeight="2.25" displayEmptyCellsAs="gap" minAxisType="custom" maxAxisType="custom" xr2:uid="{00000000-0003-0000-0500-00006C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Odpis_fundusz_remontowy_dźwigi!C22:J22</xm:f>
              <xm:sqref>C23</xm:sqref>
            </x14:sparkline>
          </x14:sparklines>
        </x14:sparklineGroup>
        <x14:sparklineGroup manualMax="0.60000000000000009" manualMin="0" lineWeight="2.25" displayEmptyCellsAs="gap" minAxisType="custom" maxAxisType="custom" xr2:uid="{00000000-0003-0000-0500-00006B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Odpis_fundusz_remontowy_dźwigi!C20:J20</xm:f>
              <xm:sqref>C21</xm:sqref>
            </x14:sparkline>
          </x14:sparklines>
        </x14:sparklineGroup>
        <x14:sparklineGroup manualMax="0.60000000000000009" manualMin="0" lineWeight="2.25" displayEmptyCellsAs="gap" minAxisType="custom" maxAxisType="custom" xr2:uid="{00000000-0003-0000-0500-00006A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Odpis_fundusz_remontowy_dźwigi!C18:J18</xm:f>
              <xm:sqref>C19</xm:sqref>
            </x14:sparkline>
          </x14:sparklines>
        </x14:sparklineGroup>
        <x14:sparklineGroup manualMax="0.60000000000000009" manualMin="0" lineWeight="2.25" displayEmptyCellsAs="gap" minAxisType="custom" maxAxisType="custom" xr2:uid="{00000000-0003-0000-0500-000069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Odpis_fundusz_remontowy_dźwigi!C16:J16</xm:f>
              <xm:sqref>C17</xm:sqref>
            </x14:sparkline>
          </x14:sparklines>
        </x14:sparklineGroup>
        <x14:sparklineGroup manualMax="0.60000000000000009" manualMin="0" lineWeight="2.25" displayEmptyCellsAs="gap" minAxisType="custom" maxAxisType="custom" xr2:uid="{00000000-0003-0000-0500-000068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Odpis_fundusz_remontowy_dźwigi!C14:J14</xm:f>
              <xm:sqref>C15</xm:sqref>
            </x14:sparkline>
          </x14:sparklines>
        </x14:sparklineGroup>
        <x14:sparklineGroup manualMax="0.60000000000000009" manualMin="0" lineWeight="2.25" displayEmptyCellsAs="gap" minAxisType="custom" maxAxisType="custom" xr2:uid="{00000000-0003-0000-0500-000067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Odpis_fundusz_remontowy_dźwigi!C12:J12</xm:f>
              <xm:sqref>C13</xm:sqref>
            </x14:sparkline>
          </x14:sparklines>
        </x14:sparklineGroup>
        <x14:sparklineGroup manualMax="0.60000000000000009" manualMin="0" lineWeight="2.25" displayEmptyCellsAs="gap" minAxisType="custom" maxAxisType="custom" xr2:uid="{00000000-0003-0000-0500-000066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Odpis_fundusz_remontowy_dźwigi!C10:J10</xm:f>
              <xm:sqref>C11</xm:sqref>
            </x14:sparkline>
          </x14:sparklines>
        </x14:sparklineGroup>
        <x14:sparklineGroup manualMax="0.60000000000000009" manualMin="0" lineWeight="2.25" displayEmptyCellsAs="gap" minAxisType="custom" maxAxisType="custom" xr2:uid="{00000000-0003-0000-0500-000065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Odpis_fundusz_remontowy_dźwigi!C8:J8</xm:f>
              <xm:sqref>C9</xm:sqref>
            </x14:sparkline>
          </x14:sparklines>
        </x14:sparklineGroup>
        <x14:sparklineGroup manualMax="0.60000000000000009" manualMin="0" lineWeight="2.25" displayEmptyCellsAs="gap" minAxisType="custom" maxAxisType="custom" xr2:uid="{00000000-0003-0000-0500-000064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Odpis_fundusz_remontowy_dźwigi!C6:J6</xm:f>
              <xm:sqref>C7</xm:sqref>
            </x14:sparkline>
          </x14:sparklines>
        </x14:sparklineGroup>
        <x14:sparklineGroup manualMax="0.60000000000000009" manualMin="0" lineWeight="2.25" displayEmptyCellsAs="gap" minAxisType="custom" maxAxisType="custom" xr2:uid="{00000000-0003-0000-0500-000063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Odpis_fundusz_remontowy_dźwigi!C4:J4</xm:f>
              <xm:sqref>C5</xm:sqref>
            </x14:sparkline>
          </x14:sparklines>
        </x14:sparklineGroup>
      </x14:sparklineGroup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59999389629810485"/>
  </sheetPr>
  <dimension ref="A2:H7"/>
  <sheetViews>
    <sheetView workbookViewId="0">
      <selection activeCell="O32" sqref="O32"/>
    </sheetView>
  </sheetViews>
  <sheetFormatPr defaultColWidth="9.109375" defaultRowHeight="14.4" x14ac:dyDescent="0.3"/>
  <cols>
    <col min="1" max="1" width="25" style="11" bestFit="1" customWidth="1"/>
    <col min="2" max="8" width="9.88671875" style="11" bestFit="1" customWidth="1"/>
    <col min="9" max="16384" width="9.109375" style="11"/>
  </cols>
  <sheetData>
    <row r="2" spans="1:8" x14ac:dyDescent="0.3">
      <c r="B2" s="93" t="s">
        <v>135</v>
      </c>
      <c r="C2" s="93"/>
      <c r="D2" s="93"/>
      <c r="E2" s="93"/>
      <c r="F2" s="93"/>
      <c r="G2" s="93"/>
      <c r="H2" s="93"/>
    </row>
    <row r="4" spans="1:8" x14ac:dyDescent="0.3">
      <c r="A4" s="12" t="s">
        <v>125</v>
      </c>
      <c r="B4" s="13">
        <v>2014</v>
      </c>
      <c r="C4" s="13">
        <v>2015</v>
      </c>
      <c r="D4" s="13">
        <v>2016</v>
      </c>
      <c r="E4" s="13">
        <v>2017</v>
      </c>
      <c r="F4" s="13">
        <v>2018</v>
      </c>
      <c r="G4" s="13">
        <v>2019</v>
      </c>
      <c r="H4" s="13">
        <v>2020</v>
      </c>
    </row>
    <row r="5" spans="1:8" x14ac:dyDescent="0.3">
      <c r="A5" s="12" t="s">
        <v>136</v>
      </c>
      <c r="B5" s="15">
        <v>1680</v>
      </c>
      <c r="C5" s="15">
        <v>1750</v>
      </c>
      <c r="D5" s="15">
        <v>1850</v>
      </c>
      <c r="E5" s="15">
        <v>2000</v>
      </c>
      <c r="F5" s="15">
        <v>2100</v>
      </c>
      <c r="G5" s="15">
        <v>2250</v>
      </c>
      <c r="H5" s="15">
        <v>2600</v>
      </c>
    </row>
    <row r="7" spans="1:8" ht="48" customHeight="1" x14ac:dyDescent="0.3">
      <c r="A7" s="14" t="s">
        <v>137</v>
      </c>
      <c r="B7" s="94"/>
      <c r="C7" s="94"/>
      <c r="D7" s="94"/>
      <c r="E7" s="94"/>
      <c r="F7" s="94"/>
      <c r="G7" s="94"/>
      <c r="H7" s="94"/>
    </row>
  </sheetData>
  <mergeCells count="2">
    <mergeCell ref="B2:H2"/>
    <mergeCell ref="B7:H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600-000091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Płaca_minimalna_2014_2020!B5:B5</xm:f>
              <xm:sqref>K5</xm:sqref>
            </x14:sparkline>
            <x14:sparkline>
              <xm:f>Płaca_minimalna_2014_2020!C5:C5</xm:f>
              <xm:sqref>L5</xm:sqref>
            </x14:sparkline>
            <x14:sparkline>
              <xm:f>Płaca_minimalna_2014_2020!D5:D5</xm:f>
              <xm:sqref>M5</xm:sqref>
            </x14:sparkline>
            <x14:sparkline>
              <xm:f>Płaca_minimalna_2014_2020!E5:E5</xm:f>
              <xm:sqref>N5</xm:sqref>
            </x14:sparkline>
            <x14:sparkline>
              <xm:f>Płaca_minimalna_2014_2020!F5:F5</xm:f>
              <xm:sqref>O5</xm:sqref>
            </x14:sparkline>
            <x14:sparkline>
              <xm:f>Płaca_minimalna_2014_2020!G5:G5</xm:f>
              <xm:sqref>P5</xm:sqref>
            </x14:sparkline>
            <x14:sparkline>
              <xm:f>Płaca_minimalna_2014_2020!H5:H5</xm:f>
              <xm:sqref>Q5</xm:sqref>
            </x14:sparkline>
          </x14:sparklines>
        </x14:sparklineGroup>
        <x14:sparklineGroup displayEmptyCellsAs="gap" xr2:uid="{00000000-0003-0000-0600-00009001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Płaca_minimalna_2014_2020!B5:H5</xm:f>
              <xm:sqref>B7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3</vt:i4>
      </vt:variant>
    </vt:vector>
  </HeadingPairs>
  <TitlesOfParts>
    <vt:vector size="11" baseType="lpstr">
      <vt:lpstr>Eksploatacja</vt:lpstr>
      <vt:lpstr>Arkusz1</vt:lpstr>
      <vt:lpstr>141</vt:lpstr>
      <vt:lpstr>Wzór_kalkulacji_ekspl.</vt:lpstr>
      <vt:lpstr>Odpis_fundusz_podstawowy</vt:lpstr>
      <vt:lpstr>Odpis_termomodernizacja</vt:lpstr>
      <vt:lpstr>Odpis_fundusz_remontowy_dźwigi</vt:lpstr>
      <vt:lpstr>Płaca_minimalna_2014_2020</vt:lpstr>
      <vt:lpstr>Eksploatacja!Obszar_wydruku</vt:lpstr>
      <vt:lpstr>Wzór_kalkulacji_ekspl.!Obszar_wydruku</vt:lpstr>
      <vt:lpstr>Eksploatacja!Tytuły_wydruku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</dc:creator>
  <cp:lastModifiedBy>Piotr Biernat</cp:lastModifiedBy>
  <cp:lastPrinted>2020-12-15T09:08:52Z</cp:lastPrinted>
  <dcterms:created xsi:type="dcterms:W3CDTF">2020-03-03T13:03:58Z</dcterms:created>
  <dcterms:modified xsi:type="dcterms:W3CDTF">2021-02-25T14:32:58Z</dcterms:modified>
</cp:coreProperties>
</file>